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ehler\OneDrive\Skrivbord\"/>
    </mc:Choice>
  </mc:AlternateContent>
  <xr:revisionPtr revIDLastSave="0" documentId="13_ncr:1_{6A5FEEAD-D43B-4545-8801-C101FD7A066E}" xr6:coauthVersionLast="47" xr6:coauthVersionMax="47" xr10:uidLastSave="{00000000-0000-0000-0000-000000000000}"/>
  <bookViews>
    <workbookView xWindow="9030" yWindow="3900" windowWidth="13380" windowHeight="15285" xr2:uid="{00000000-000D-0000-FFFF-FFFF00000000}"/>
  </bookViews>
  <sheets>
    <sheet name="Budget 2024 Detalj" sheetId="1" r:id="rId1"/>
    <sheet name="Utfall 2023 Jmf m budg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C69" i="2"/>
  <c r="H15" i="2" l="1"/>
  <c r="G15" i="2"/>
  <c r="G55" i="2"/>
  <c r="G69" i="2"/>
  <c r="G61" i="2"/>
  <c r="A7" i="1"/>
  <c r="B7" i="1"/>
  <c r="A8" i="1"/>
  <c r="B8" i="1"/>
  <c r="A9" i="1"/>
  <c r="A10" i="1"/>
  <c r="B10" i="1"/>
  <c r="A11" i="1"/>
  <c r="B11" i="1"/>
  <c r="A12" i="1"/>
  <c r="B12" i="1"/>
  <c r="A13" i="1"/>
  <c r="B13" i="1"/>
  <c r="C15" i="1"/>
  <c r="D15" i="1"/>
  <c r="E15" i="1"/>
  <c r="F15" i="1"/>
  <c r="G15" i="1"/>
  <c r="H15" i="1"/>
  <c r="I15" i="1"/>
  <c r="K15" i="1"/>
  <c r="L15" i="1"/>
  <c r="M15" i="1"/>
  <c r="N15" i="1"/>
  <c r="A17" i="1"/>
  <c r="E85" i="1"/>
  <c r="E84" i="1"/>
  <c r="E83" i="1"/>
  <c r="E82" i="1"/>
  <c r="E79" i="1"/>
  <c r="E78" i="1"/>
  <c r="E77" i="1"/>
  <c r="E76" i="1"/>
  <c r="E70" i="1"/>
  <c r="E92" i="1" s="1"/>
  <c r="E62" i="1"/>
  <c r="E88" i="1" s="1"/>
  <c r="E55" i="1"/>
  <c r="F76" i="1"/>
  <c r="F77" i="1"/>
  <c r="F78" i="1"/>
  <c r="F79" i="1"/>
  <c r="F82" i="1"/>
  <c r="F83" i="1"/>
  <c r="F84" i="1"/>
  <c r="F85" i="1"/>
  <c r="C85" i="1"/>
  <c r="C84" i="1"/>
  <c r="C83" i="1"/>
  <c r="C82" i="1"/>
  <c r="C79" i="1"/>
  <c r="C78" i="1"/>
  <c r="C77" i="1"/>
  <c r="C76" i="1"/>
  <c r="D85" i="1"/>
  <c r="D84" i="1"/>
  <c r="D83" i="1"/>
  <c r="D82" i="1"/>
  <c r="D79" i="1"/>
  <c r="D78" i="1"/>
  <c r="D77" i="1"/>
  <c r="D76" i="1"/>
  <c r="D80" i="1" s="1"/>
  <c r="D55" i="1"/>
  <c r="D62" i="1"/>
  <c r="D88" i="1" s="1"/>
  <c r="D70" i="1"/>
  <c r="D92" i="1" s="1"/>
  <c r="C70" i="1"/>
  <c r="C92" i="1" s="1"/>
  <c r="C62" i="1"/>
  <c r="C88" i="1" s="1"/>
  <c r="C55" i="1"/>
  <c r="C61" i="2"/>
  <c r="C55" i="2"/>
  <c r="E3" i="2"/>
  <c r="E4" i="2"/>
  <c r="E6" i="2"/>
  <c r="E7" i="2"/>
  <c r="E8" i="2"/>
  <c r="E9" i="2"/>
  <c r="E68" i="2"/>
  <c r="E67" i="2"/>
  <c r="E66" i="2"/>
  <c r="E60" i="2"/>
  <c r="E59" i="2"/>
  <c r="E58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27" i="2"/>
  <c r="E28" i="2"/>
  <c r="E29" i="2"/>
  <c r="E30" i="2"/>
  <c r="E31" i="2"/>
  <c r="E32" i="2"/>
  <c r="E33" i="2"/>
  <c r="E26" i="2"/>
  <c r="E19" i="2"/>
  <c r="E20" i="2"/>
  <c r="E21" i="2"/>
  <c r="E22" i="2"/>
  <c r="E23" i="2"/>
  <c r="E24" i="2"/>
  <c r="E25" i="2"/>
  <c r="E18" i="2"/>
  <c r="E11" i="2"/>
  <c r="E12" i="2"/>
  <c r="E13" i="2"/>
  <c r="E14" i="2"/>
  <c r="E10" i="2"/>
  <c r="P69" i="2"/>
  <c r="O69" i="2"/>
  <c r="N69" i="2"/>
  <c r="M69" i="2"/>
  <c r="K69" i="2"/>
  <c r="J69" i="2"/>
  <c r="I69" i="2"/>
  <c r="D69" i="2"/>
  <c r="E69" i="2" s="1"/>
  <c r="B68" i="2"/>
  <c r="A68" i="2"/>
  <c r="B67" i="2"/>
  <c r="A67" i="2"/>
  <c r="B66" i="2"/>
  <c r="A66" i="2"/>
  <c r="P61" i="2"/>
  <c r="O61" i="2"/>
  <c r="N61" i="2"/>
  <c r="M61" i="2"/>
  <c r="K61" i="2"/>
  <c r="J61" i="2"/>
  <c r="I61" i="2"/>
  <c r="D61" i="2"/>
  <c r="A60" i="2"/>
  <c r="B59" i="2"/>
  <c r="A59" i="2"/>
  <c r="B57" i="2"/>
  <c r="P55" i="2"/>
  <c r="O55" i="2"/>
  <c r="N55" i="2"/>
  <c r="M55" i="2"/>
  <c r="J55" i="2"/>
  <c r="I55" i="2"/>
  <c r="D55" i="2"/>
  <c r="B54" i="2"/>
  <c r="A54" i="2"/>
  <c r="A53" i="2"/>
  <c r="B52" i="2"/>
  <c r="A52" i="2"/>
  <c r="B51" i="2"/>
  <c r="A51" i="2"/>
  <c r="B50" i="2"/>
  <c r="A50" i="2"/>
  <c r="B49" i="2"/>
  <c r="A49" i="2"/>
  <c r="B48" i="2"/>
  <c r="A48" i="2"/>
  <c r="B47" i="2"/>
  <c r="A47" i="2"/>
  <c r="B46" i="2"/>
  <c r="A46" i="2"/>
  <c r="B45" i="2"/>
  <c r="A45" i="2"/>
  <c r="B44" i="2"/>
  <c r="B43" i="2"/>
  <c r="A43" i="2"/>
  <c r="B42" i="2"/>
  <c r="A42" i="2"/>
  <c r="B41" i="2"/>
  <c r="A41" i="2"/>
  <c r="B40" i="2"/>
  <c r="A40" i="2"/>
  <c r="B39" i="2"/>
  <c r="A39" i="2"/>
  <c r="B38" i="2"/>
  <c r="A38" i="2"/>
  <c r="A37" i="2"/>
  <c r="B36" i="2"/>
  <c r="A36" i="2"/>
  <c r="B35" i="2"/>
  <c r="A35" i="2"/>
  <c r="B34" i="2"/>
  <c r="A34" i="2"/>
  <c r="B33" i="2"/>
  <c r="A33" i="2"/>
  <c r="B31" i="2"/>
  <c r="A31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B21" i="2"/>
  <c r="A21" i="2"/>
  <c r="B20" i="2"/>
  <c r="A20" i="2"/>
  <c r="B19" i="2"/>
  <c r="A19" i="2"/>
  <c r="A18" i="2"/>
  <c r="A17" i="2"/>
  <c r="P15" i="2"/>
  <c r="O15" i="2"/>
  <c r="N15" i="2"/>
  <c r="M15" i="2"/>
  <c r="K15" i="2"/>
  <c r="K57" i="2" s="1"/>
  <c r="J15" i="2"/>
  <c r="I15" i="2"/>
  <c r="D15" i="2"/>
  <c r="E15" i="2" s="1"/>
  <c r="B13" i="2"/>
  <c r="A13" i="2"/>
  <c r="B12" i="2"/>
  <c r="A12" i="2"/>
  <c r="B11" i="2"/>
  <c r="A11" i="2"/>
  <c r="B10" i="2"/>
  <c r="A10" i="2"/>
  <c r="A9" i="2"/>
  <c r="B8" i="2"/>
  <c r="A8" i="2"/>
  <c r="B7" i="2"/>
  <c r="A7" i="2"/>
  <c r="B3" i="2"/>
  <c r="A3" i="2"/>
  <c r="F70" i="1"/>
  <c r="F92" i="1" s="1"/>
  <c r="F62" i="1"/>
  <c r="F88" i="1" s="1"/>
  <c r="F55" i="1"/>
  <c r="C86" i="1" l="1"/>
  <c r="D72" i="1"/>
  <c r="K63" i="2"/>
  <c r="E78" i="2"/>
  <c r="E81" i="2"/>
  <c r="E75" i="2"/>
  <c r="G57" i="2"/>
  <c r="G63" i="2" s="1"/>
  <c r="E82" i="2"/>
  <c r="E80" i="2"/>
  <c r="E79" i="2"/>
  <c r="E76" i="2"/>
  <c r="E77" i="2"/>
  <c r="G71" i="2"/>
  <c r="C71" i="2"/>
  <c r="J57" i="2"/>
  <c r="J63" i="2" s="1"/>
  <c r="D86" i="1"/>
  <c r="D90" i="1"/>
  <c r="E80" i="1"/>
  <c r="E57" i="1"/>
  <c r="E64" i="1" s="1"/>
  <c r="E86" i="1"/>
  <c r="F86" i="1"/>
  <c r="E72" i="1"/>
  <c r="F72" i="1"/>
  <c r="D57" i="1"/>
  <c r="D64" i="1" s="1"/>
  <c r="C80" i="1"/>
  <c r="C90" i="1" s="1"/>
  <c r="C94" i="1" s="1"/>
  <c r="F80" i="1"/>
  <c r="E55" i="2"/>
  <c r="C57" i="2"/>
  <c r="C63" i="2" s="1"/>
  <c r="C72" i="1"/>
  <c r="C57" i="1"/>
  <c r="C64" i="1" s="1"/>
  <c r="E61" i="2"/>
  <c r="M71" i="2"/>
  <c r="M57" i="2"/>
  <c r="M63" i="2" s="1"/>
  <c r="P71" i="2"/>
  <c r="N57" i="2"/>
  <c r="N63" i="2" s="1"/>
  <c r="D57" i="2"/>
  <c r="O57" i="2"/>
  <c r="O63" i="2" s="1"/>
  <c r="I57" i="2"/>
  <c r="I63" i="2" s="1"/>
  <c r="P57" i="2"/>
  <c r="P63" i="2" s="1"/>
  <c r="D71" i="2"/>
  <c r="I71" i="2"/>
  <c r="J71" i="2"/>
  <c r="K71" i="2"/>
  <c r="N71" i="2"/>
  <c r="O71" i="2"/>
  <c r="F57" i="1"/>
  <c r="F64" i="1" s="1"/>
  <c r="G76" i="1"/>
  <c r="G77" i="1"/>
  <c r="G78" i="1"/>
  <c r="G79" i="1"/>
  <c r="G82" i="1"/>
  <c r="G83" i="1"/>
  <c r="G84" i="1"/>
  <c r="G85" i="1"/>
  <c r="G70" i="1"/>
  <c r="G92" i="1" s="1"/>
  <c r="G62" i="1"/>
  <c r="G88" i="1" s="1"/>
  <c r="G55" i="1"/>
  <c r="B47" i="1"/>
  <c r="B48" i="1"/>
  <c r="H83" i="1"/>
  <c r="H76" i="1"/>
  <c r="H77" i="1"/>
  <c r="H78" i="1"/>
  <c r="H79" i="1"/>
  <c r="H82" i="1"/>
  <c r="H84" i="1"/>
  <c r="H85" i="1"/>
  <c r="H70" i="1"/>
  <c r="H92" i="1" s="1"/>
  <c r="H62" i="1"/>
  <c r="H88" i="1" s="1"/>
  <c r="H55" i="1"/>
  <c r="E83" i="2" l="1"/>
  <c r="E71" i="2"/>
  <c r="E90" i="1"/>
  <c r="E94" i="1" s="1"/>
  <c r="F90" i="1"/>
  <c r="F94" i="1" s="1"/>
  <c r="D63" i="2"/>
  <c r="E63" i="2" s="1"/>
  <c r="E57" i="2"/>
  <c r="G80" i="1"/>
  <c r="H57" i="1"/>
  <c r="H64" i="1" s="1"/>
  <c r="G57" i="1"/>
  <c r="G64" i="1" s="1"/>
  <c r="G86" i="1"/>
  <c r="G72" i="1"/>
  <c r="H80" i="1"/>
  <c r="H86" i="1"/>
  <c r="H72" i="1"/>
  <c r="I85" i="1"/>
  <c r="I84" i="1"/>
  <c r="I83" i="1"/>
  <c r="I82" i="1"/>
  <c r="I79" i="1"/>
  <c r="I78" i="1"/>
  <c r="I77" i="1"/>
  <c r="I76" i="1"/>
  <c r="I70" i="1"/>
  <c r="I92" i="1" s="1"/>
  <c r="I62" i="1"/>
  <c r="I88" i="1" s="1"/>
  <c r="H90" i="1" l="1"/>
  <c r="H94" i="1" s="1"/>
  <c r="G90" i="1"/>
  <c r="G94" i="1" s="1"/>
  <c r="I72" i="1"/>
  <c r="I80" i="1"/>
  <c r="I86" i="1"/>
  <c r="I90" i="1" s="1"/>
  <c r="I94" i="1" s="1"/>
  <c r="I57" i="1"/>
  <c r="I64" i="1" s="1"/>
  <c r="K55" i="1"/>
  <c r="N83" i="1" l="1"/>
  <c r="M83" i="1"/>
  <c r="L83" i="1"/>
  <c r="N84" i="1"/>
  <c r="M84" i="1"/>
  <c r="L84" i="1"/>
  <c r="K84" i="1"/>
  <c r="K83" i="1"/>
  <c r="K82" i="1"/>
  <c r="K85" i="1"/>
  <c r="L85" i="1"/>
  <c r="N85" i="1"/>
  <c r="M85" i="1"/>
  <c r="N82" i="1"/>
  <c r="M82" i="1"/>
  <c r="L82" i="1"/>
  <c r="K78" i="1"/>
  <c r="K79" i="1"/>
  <c r="L76" i="1"/>
  <c r="K76" i="1"/>
  <c r="K70" i="1"/>
  <c r="K62" i="1"/>
  <c r="B44" i="1"/>
  <c r="K72" i="1" l="1"/>
  <c r="D94" i="1"/>
  <c r="K57" i="1"/>
  <c r="K64" i="1" s="1"/>
  <c r="K77" i="1" l="1"/>
  <c r="K88" i="1"/>
  <c r="K92" i="1"/>
  <c r="K80" i="1" l="1"/>
  <c r="L79" i="1" l="1"/>
  <c r="M79" i="1"/>
  <c r="N79" i="1"/>
  <c r="M78" i="1"/>
  <c r="N78" i="1"/>
  <c r="L78" i="1"/>
  <c r="M77" i="1"/>
  <c r="N77" i="1"/>
  <c r="L77" i="1"/>
  <c r="M76" i="1"/>
  <c r="N76" i="1"/>
  <c r="N80" i="1" l="1"/>
  <c r="M80" i="1"/>
  <c r="L80" i="1"/>
  <c r="K86" i="1" l="1"/>
  <c r="K90" i="1" l="1"/>
  <c r="K94" i="1" s="1"/>
  <c r="N86" i="1" l="1"/>
  <c r="M86" i="1"/>
  <c r="M70" i="1"/>
  <c r="M92" i="1" s="1"/>
  <c r="N70" i="1"/>
  <c r="N92" i="1" s="1"/>
  <c r="L70" i="1"/>
  <c r="L92" i="1" s="1"/>
  <c r="M62" i="1"/>
  <c r="M88" i="1" s="1"/>
  <c r="N62" i="1"/>
  <c r="N88" i="1" s="1"/>
  <c r="L62" i="1"/>
  <c r="L88" i="1" s="1"/>
  <c r="M55" i="1"/>
  <c r="N55" i="1"/>
  <c r="L55" i="1"/>
  <c r="A48" i="1"/>
  <c r="A47" i="1"/>
  <c r="A37" i="1"/>
  <c r="M90" i="1" l="1"/>
  <c r="M94" i="1" s="1"/>
  <c r="N90" i="1"/>
  <c r="N94" i="1" s="1"/>
  <c r="L72" i="1"/>
  <c r="M57" i="1"/>
  <c r="M64" i="1" s="1"/>
  <c r="N72" i="1"/>
  <c r="M72" i="1"/>
  <c r="L57" i="1"/>
  <c r="L64" i="1" s="1"/>
  <c r="N57" i="1"/>
  <c r="N64" i="1" s="1"/>
  <c r="L86" i="1" l="1"/>
  <c r="L90" i="1" s="1"/>
  <c r="L94" i="1" s="1"/>
  <c r="B22" i="1"/>
  <c r="B69" i="1"/>
  <c r="A69" i="1"/>
  <c r="B68" i="1"/>
  <c r="A68" i="1"/>
  <c r="B67" i="1"/>
  <c r="A67" i="1"/>
  <c r="B61" i="1"/>
  <c r="A61" i="1"/>
  <c r="A60" i="1"/>
  <c r="B59" i="1"/>
  <c r="A59" i="1"/>
  <c r="A54" i="1"/>
  <c r="A53" i="1"/>
  <c r="B52" i="1"/>
  <c r="A52" i="1"/>
  <c r="B57" i="1"/>
  <c r="B51" i="1"/>
  <c r="A51" i="1"/>
  <c r="B50" i="1"/>
  <c r="A50" i="1"/>
  <c r="B49" i="1"/>
  <c r="A49" i="1"/>
  <c r="B46" i="1"/>
  <c r="A46" i="1"/>
  <c r="B45" i="1"/>
  <c r="A45" i="1"/>
  <c r="B43" i="1"/>
  <c r="A43" i="1"/>
  <c r="B42" i="1"/>
  <c r="A42" i="1"/>
  <c r="B41" i="1"/>
  <c r="A41" i="1"/>
  <c r="B40" i="1"/>
  <c r="A40" i="1"/>
  <c r="B39" i="1"/>
  <c r="A39" i="1"/>
  <c r="B38" i="1"/>
  <c r="A38" i="1"/>
  <c r="B36" i="1"/>
  <c r="A36" i="1"/>
  <c r="B35" i="1"/>
  <c r="A35" i="1"/>
  <c r="B34" i="1"/>
  <c r="A34" i="1"/>
  <c r="B33" i="1"/>
  <c r="A33" i="1"/>
  <c r="B31" i="1"/>
  <c r="A31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1" i="1"/>
  <c r="A21" i="1"/>
  <c r="B20" i="1"/>
  <c r="A20" i="1"/>
  <c r="B19" i="1"/>
  <c r="A19" i="1"/>
  <c r="A18" i="1"/>
  <c r="B3" i="1"/>
  <c r="A3" i="1"/>
</calcChain>
</file>

<file path=xl/sharedStrings.xml><?xml version="1.0" encoding="utf-8"?>
<sst xmlns="http://schemas.openxmlformats.org/spreadsheetml/2006/main" count="113" uniqueCount="72">
  <si>
    <t>År  2016</t>
  </si>
  <si>
    <t>År  2015</t>
  </si>
  <si>
    <t>År  2014</t>
  </si>
  <si>
    <t>4055</t>
  </si>
  <si>
    <t>Summa intäkter</t>
  </si>
  <si>
    <t>Resultat efter avskrivning</t>
  </si>
  <si>
    <t>Sandön</t>
  </si>
  <si>
    <t>Kranområde</t>
  </si>
  <si>
    <t>Övrigt</t>
  </si>
  <si>
    <t>Traktor</t>
  </si>
  <si>
    <t>Årets resultat</t>
  </si>
  <si>
    <t>År 2016</t>
  </si>
  <si>
    <t>År 2015</t>
  </si>
  <si>
    <t>År 2014</t>
  </si>
  <si>
    <t>Summa kostnader</t>
  </si>
  <si>
    <t>Avskrivningar</t>
  </si>
  <si>
    <t>Medlemsavg</t>
  </si>
  <si>
    <t>Kranintäkter</t>
  </si>
  <si>
    <t>Uppl + skjul</t>
  </si>
  <si>
    <t>Övr intäkter</t>
  </si>
  <si>
    <t>Resultat ef avskrivning</t>
  </si>
  <si>
    <t>Räntenetto o bankavg</t>
  </si>
  <si>
    <t>År  2017</t>
  </si>
  <si>
    <t>År 2017</t>
  </si>
  <si>
    <t>3825</t>
  </si>
  <si>
    <t>Uppläggning plan passiv</t>
  </si>
  <si>
    <t>3016</t>
  </si>
  <si>
    <t>Bidrag Sandön</t>
  </si>
  <si>
    <t>4204</t>
  </si>
  <si>
    <t>År  2018</t>
  </si>
  <si>
    <t>År 2018</t>
  </si>
  <si>
    <t>År  2019</t>
  </si>
  <si>
    <t>3810</t>
  </si>
  <si>
    <t>Administrativa intäkter</t>
  </si>
  <si>
    <t>4155</t>
  </si>
  <si>
    <t>Mastskjul</t>
  </si>
  <si>
    <t>0</t>
  </si>
  <si>
    <t>År 2019</t>
  </si>
  <si>
    <t>Avskrivningar byggnader &amp; markanl</t>
  </si>
  <si>
    <t>Summa avskrivningar</t>
  </si>
  <si>
    <t>År  2020</t>
  </si>
  <si>
    <t>Båtunionen</t>
  </si>
  <si>
    <t>4157</t>
  </si>
  <si>
    <t>Elbom</t>
  </si>
  <si>
    <t>År 2020</t>
  </si>
  <si>
    <t>Kajreparation/mastkran</t>
  </si>
  <si>
    <t>El inbetalning fr medl</t>
  </si>
  <si>
    <t>År  2021</t>
  </si>
  <si>
    <t>År 2021</t>
  </si>
  <si>
    <t>Årsmöte Säffle Segelklubb April 2023 - resultaträkning och budget</t>
  </si>
  <si>
    <t>År  2022</t>
  </si>
  <si>
    <t>Diff mot
budget</t>
  </si>
  <si>
    <t>Budget 
år 2023</t>
  </si>
  <si>
    <t>Större avvikelser 
m budget</t>
  </si>
  <si>
    <t>Sammanställning avvikelser utfall 2022 jmf m budget</t>
  </si>
  <si>
    <t>Årsmöte Säffle Segelklubb April 2024 - resultaträkning och budget</t>
  </si>
  <si>
    <t>År  2023</t>
  </si>
  <si>
    <t>Budget
 2024</t>
  </si>
  <si>
    <t>3700</t>
  </si>
  <si>
    <t>Övr intäkter Elstöd</t>
  </si>
  <si>
    <t>Försäkringar Säffle/Sandön</t>
  </si>
  <si>
    <t>Lämnade bidrag och gåvor</t>
  </si>
  <si>
    <t>Budget 2023</t>
  </si>
  <si>
    <t>Budget 
år 2024</t>
  </si>
  <si>
    <t>Administration</t>
  </si>
  <si>
    <t>Övriga kostn</t>
  </si>
  <si>
    <t>Avskrivning</t>
  </si>
  <si>
    <t>Finansiella poster</t>
  </si>
  <si>
    <t>Intäkter</t>
  </si>
  <si>
    <t>Fordon</t>
  </si>
  <si>
    <t>Försäkringar Säffle o Sandön</t>
  </si>
  <si>
    <t xml:space="preserve">Summa avvikelser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</si>
</sst>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0" borderId="0" xfId="0" applyNumberFormat="1"/>
    <xf numFmtId="0" fontId="0" fillId="0" borderId="1" xfId="0" applyBorder="1"/>
    <xf numFmtId="4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0" borderId="3" xfId="0" applyBorder="1"/>
    <xf numFmtId="3" fontId="0" fillId="0" borderId="0" xfId="0" applyNumberFormat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1" fillId="0" borderId="0" xfId="0" applyNumberFormat="1" applyFont="1"/>
    <xf numFmtId="0" fontId="1" fillId="3" borderId="0" xfId="0" applyFont="1" applyFill="1"/>
    <xf numFmtId="0" fontId="2" fillId="3" borderId="0" xfId="0" applyFont="1" applyFill="1"/>
    <xf numFmtId="0" fontId="0" fillId="0" borderId="6" xfId="0" applyBorder="1"/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/>
    <xf numFmtId="3" fontId="1" fillId="0" borderId="7" xfId="0" applyNumberFormat="1" applyFont="1" applyBorder="1"/>
    <xf numFmtId="0" fontId="1" fillId="0" borderId="8" xfId="0" applyFont="1" applyBorder="1"/>
    <xf numFmtId="49" fontId="0" fillId="0" borderId="2" xfId="0" applyNumberFormat="1" applyBorder="1"/>
    <xf numFmtId="49" fontId="0" fillId="2" borderId="0" xfId="0" applyNumberFormat="1" applyFill="1"/>
    <xf numFmtId="49" fontId="0" fillId="4" borderId="0" xfId="0" applyNumberFormat="1" applyFill="1"/>
    <xf numFmtId="49" fontId="0" fillId="5" borderId="0" xfId="0" applyNumberFormat="1" applyFill="1"/>
    <xf numFmtId="49" fontId="0" fillId="6" borderId="0" xfId="0" applyNumberFormat="1" applyFill="1"/>
    <xf numFmtId="0" fontId="0" fillId="0" borderId="12" xfId="0" applyBorder="1"/>
    <xf numFmtId="3" fontId="0" fillId="0" borderId="12" xfId="0" applyNumberFormat="1" applyBorder="1"/>
    <xf numFmtId="3" fontId="0" fillId="0" borderId="13" xfId="0" applyNumberFormat="1" applyBorder="1"/>
    <xf numFmtId="4" fontId="0" fillId="0" borderId="12" xfId="0" applyNumberFormat="1" applyBorder="1"/>
    <xf numFmtId="4" fontId="0" fillId="0" borderId="16" xfId="0" applyNumberFormat="1" applyBorder="1"/>
    <xf numFmtId="49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wrapText="1"/>
    </xf>
    <xf numFmtId="0" fontId="1" fillId="0" borderId="1" xfId="0" applyFont="1" applyBorder="1"/>
    <xf numFmtId="3" fontId="1" fillId="0" borderId="12" xfId="0" applyNumberFormat="1" applyFont="1" applyBorder="1"/>
    <xf numFmtId="3" fontId="0" fillId="6" borderId="12" xfId="0" applyNumberFormat="1" applyFill="1" applyBorder="1"/>
    <xf numFmtId="3" fontId="0" fillId="5" borderId="12" xfId="0" applyNumberFormat="1" applyFill="1" applyBorder="1"/>
    <xf numFmtId="3" fontId="0" fillId="5" borderId="12" xfId="0" applyNumberFormat="1" applyFill="1" applyBorder="1" applyAlignment="1">
      <alignment horizontal="right"/>
    </xf>
    <xf numFmtId="3" fontId="0" fillId="4" borderId="12" xfId="0" applyNumberFormat="1" applyFill="1" applyBorder="1"/>
    <xf numFmtId="3" fontId="0" fillId="2" borderId="12" xfId="0" applyNumberFormat="1" applyFill="1" applyBorder="1"/>
    <xf numFmtId="3" fontId="1" fillId="0" borderId="14" xfId="0" applyNumberFormat="1" applyFont="1" applyBorder="1"/>
    <xf numFmtId="3" fontId="1" fillId="0" borderId="11" xfId="0" applyNumberFormat="1" applyFont="1" applyBorder="1"/>
    <xf numFmtId="3" fontId="1" fillId="0" borderId="15" xfId="0" applyNumberFormat="1" applyFont="1" applyBorder="1"/>
    <xf numFmtId="3" fontId="1" fillId="3" borderId="12" xfId="0" applyNumberFormat="1" applyFont="1" applyFill="1" applyBorder="1"/>
    <xf numFmtId="3" fontId="0" fillId="0" borderId="15" xfId="0" applyNumberFormat="1" applyBorder="1"/>
    <xf numFmtId="3" fontId="2" fillId="3" borderId="13" xfId="0" applyNumberFormat="1" applyFont="1" applyFill="1" applyBorder="1"/>
    <xf numFmtId="0" fontId="1" fillId="0" borderId="17" xfId="0" applyFont="1" applyBorder="1" applyAlignment="1">
      <alignment horizontal="right" wrapText="1"/>
    </xf>
    <xf numFmtId="3" fontId="0" fillId="6" borderId="13" xfId="0" applyNumberFormat="1" applyFill="1" applyBorder="1"/>
    <xf numFmtId="0" fontId="4" fillId="0" borderId="0" xfId="0" applyFont="1"/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6" borderId="0" xfId="0" applyNumberFormat="1" applyFill="1" applyAlignment="1">
      <alignment horizontal="right"/>
    </xf>
    <xf numFmtId="3" fontId="0" fillId="5" borderId="0" xfId="0" applyNumberFormat="1" applyFill="1" applyAlignment="1">
      <alignment horizontal="right"/>
    </xf>
    <xf numFmtId="3" fontId="0" fillId="4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0" fillId="0" borderId="1" xfId="0" applyNumberFormat="1" applyBorder="1"/>
    <xf numFmtId="49" fontId="1" fillId="0" borderId="11" xfId="0" applyNumberFormat="1" applyFont="1" applyBorder="1" applyAlignment="1">
      <alignment horizontal="right" wrapText="1"/>
    </xf>
    <xf numFmtId="3" fontId="0" fillId="0" borderId="12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3" fontId="0" fillId="6" borderId="12" xfId="0" applyNumberFormat="1" applyFill="1" applyBorder="1" applyAlignment="1">
      <alignment horizontal="right"/>
    </xf>
    <xf numFmtId="3" fontId="0" fillId="4" borderId="12" xfId="0" applyNumberFormat="1" applyFill="1" applyBorder="1" applyAlignment="1">
      <alignment horizontal="right"/>
    </xf>
    <xf numFmtId="3" fontId="0" fillId="2" borderId="12" xfId="0" applyNumberFormat="1" applyFill="1" applyBorder="1" applyAlignment="1">
      <alignment horizontal="right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0" fillId="5" borderId="0" xfId="0" applyFill="1"/>
    <xf numFmtId="49" fontId="5" fillId="7" borderId="0" xfId="0" applyNumberFormat="1" applyFont="1" applyFill="1"/>
    <xf numFmtId="3" fontId="5" fillId="7" borderId="0" xfId="0" applyNumberFormat="1" applyFont="1" applyFill="1" applyAlignment="1">
      <alignment horizontal="right"/>
    </xf>
    <xf numFmtId="3" fontId="5" fillId="7" borderId="12" xfId="0" applyNumberFormat="1" applyFont="1" applyFill="1" applyBorder="1"/>
    <xf numFmtId="3" fontId="0" fillId="7" borderId="12" xfId="0" applyNumberFormat="1" applyFill="1" applyBorder="1"/>
    <xf numFmtId="3" fontId="0" fillId="7" borderId="13" xfId="0" applyNumberFormat="1" applyFill="1" applyBorder="1"/>
    <xf numFmtId="0" fontId="0" fillId="7" borderId="0" xfId="0" applyFill="1"/>
    <xf numFmtId="0" fontId="1" fillId="0" borderId="19" xfId="0" applyFont="1" applyBorder="1"/>
    <xf numFmtId="0" fontId="0" fillId="0" borderId="20" xfId="0" applyBorder="1"/>
    <xf numFmtId="3" fontId="1" fillId="0" borderId="21" xfId="0" applyNumberFormat="1" applyFont="1" applyBorder="1"/>
    <xf numFmtId="49" fontId="1" fillId="0" borderId="18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"/>
  <sheetViews>
    <sheetView tabSelected="1" zoomScale="118" zoomScaleNormal="118" workbookViewId="0">
      <pane xSplit="3" ySplit="2" topLeftCell="D87" activePane="bottomRight" state="frozen"/>
      <selection pane="topRight" activeCell="D1" sqref="D1"/>
      <selection pane="bottomLeft" activeCell="A3" sqref="A3"/>
      <selection pane="bottomRight" activeCell="C38" sqref="C38"/>
    </sheetView>
  </sheetViews>
  <sheetFormatPr defaultRowHeight="15" outlineLevelRow="1" x14ac:dyDescent="0.25"/>
  <cols>
    <col min="1" max="1" width="5.7109375" customWidth="1"/>
    <col min="2" max="2" width="29.28515625" bestFit="1" customWidth="1"/>
    <col min="3" max="3" width="10" customWidth="1"/>
    <col min="4" max="4" width="8.7109375" bestFit="1" customWidth="1"/>
    <col min="5" max="8" width="8.7109375" customWidth="1"/>
    <col min="9" max="14" width="8.7109375" bestFit="1" customWidth="1"/>
  </cols>
  <sheetData>
    <row r="1" spans="1:14" ht="63" customHeight="1" outlineLevel="1" x14ac:dyDescent="0.35">
      <c r="A1" s="47" t="s">
        <v>55</v>
      </c>
    </row>
    <row r="2" spans="1:14" ht="33.75" customHeight="1" outlineLevel="1" x14ac:dyDescent="0.25">
      <c r="C2" s="62" t="s">
        <v>57</v>
      </c>
      <c r="D2" s="55" t="s">
        <v>62</v>
      </c>
      <c r="E2" s="30" t="s">
        <v>56</v>
      </c>
      <c r="F2" s="30" t="s">
        <v>50</v>
      </c>
      <c r="G2" s="30" t="s">
        <v>47</v>
      </c>
      <c r="H2" s="30" t="s">
        <v>40</v>
      </c>
      <c r="I2" s="30" t="s">
        <v>31</v>
      </c>
      <c r="J2" s="30" t="s">
        <v>29</v>
      </c>
      <c r="K2" s="30" t="s">
        <v>22</v>
      </c>
      <c r="L2" s="30" t="s">
        <v>0</v>
      </c>
      <c r="M2" s="30" t="s">
        <v>1</v>
      </c>
      <c r="N2" s="30" t="s">
        <v>2</v>
      </c>
    </row>
    <row r="3" spans="1:14" outlineLevel="1" x14ac:dyDescent="0.25">
      <c r="A3" s="1" t="str">
        <f>"3015"</f>
        <v>3015</v>
      </c>
      <c r="B3" s="1" t="str">
        <f>"Diverse bidrag"</f>
        <v>Diverse bidrag</v>
      </c>
      <c r="C3" s="56">
        <v>1000</v>
      </c>
      <c r="D3" s="26">
        <v>1000</v>
      </c>
      <c r="E3" s="26">
        <v>0</v>
      </c>
      <c r="F3" s="26">
        <v>1890</v>
      </c>
      <c r="G3" s="26">
        <v>670.04</v>
      </c>
      <c r="H3" s="26">
        <v>1059</v>
      </c>
      <c r="I3" s="26">
        <v>868</v>
      </c>
      <c r="J3" s="26">
        <v>37123</v>
      </c>
      <c r="K3" s="26">
        <v>821</v>
      </c>
      <c r="L3" s="26">
        <v>304</v>
      </c>
      <c r="M3" s="26">
        <v>30000</v>
      </c>
      <c r="N3" s="26">
        <v>0</v>
      </c>
    </row>
    <row r="4" spans="1:14" outlineLevel="1" x14ac:dyDescent="0.25">
      <c r="A4" s="1" t="s">
        <v>26</v>
      </c>
      <c r="B4" s="1" t="s">
        <v>27</v>
      </c>
      <c r="C4" s="56">
        <v>12000</v>
      </c>
      <c r="D4" s="26">
        <v>15000</v>
      </c>
      <c r="E4" s="26">
        <v>9571</v>
      </c>
      <c r="F4" s="26">
        <v>12861</v>
      </c>
      <c r="G4" s="26">
        <v>11430</v>
      </c>
      <c r="H4" s="26">
        <v>16845</v>
      </c>
      <c r="I4" s="26">
        <v>11220</v>
      </c>
      <c r="J4" s="26">
        <v>5340</v>
      </c>
      <c r="K4" s="26">
        <v>1900</v>
      </c>
      <c r="L4" s="26"/>
      <c r="M4" s="26"/>
      <c r="N4" s="26"/>
    </row>
    <row r="5" spans="1:14" outlineLevel="1" x14ac:dyDescent="0.25">
      <c r="A5" s="1" t="s">
        <v>58</v>
      </c>
      <c r="B5" s="1" t="s">
        <v>59</v>
      </c>
      <c r="C5" s="56">
        <v>0</v>
      </c>
      <c r="D5" s="26"/>
      <c r="E5" s="26">
        <v>6499</v>
      </c>
      <c r="F5" s="26"/>
      <c r="G5" s="26"/>
      <c r="H5" s="26"/>
      <c r="I5" s="26"/>
      <c r="J5" s="26"/>
      <c r="K5" s="26"/>
      <c r="L5" s="26"/>
      <c r="M5" s="26"/>
      <c r="N5" s="26"/>
    </row>
    <row r="6" spans="1:14" outlineLevel="1" x14ac:dyDescent="0.25">
      <c r="A6" s="1" t="s">
        <v>32</v>
      </c>
      <c r="B6" s="1" t="s">
        <v>33</v>
      </c>
      <c r="C6" s="56">
        <v>700</v>
      </c>
      <c r="D6" s="26">
        <v>0</v>
      </c>
      <c r="E6" s="26">
        <v>680</v>
      </c>
      <c r="F6" s="26">
        <v>0</v>
      </c>
      <c r="G6" s="26">
        <v>120</v>
      </c>
      <c r="H6" s="26">
        <v>680</v>
      </c>
      <c r="I6" s="26">
        <v>380</v>
      </c>
      <c r="J6" s="26"/>
      <c r="K6" s="26"/>
      <c r="L6" s="26"/>
      <c r="M6" s="26"/>
      <c r="N6" s="26"/>
    </row>
    <row r="7" spans="1:14" outlineLevel="1" x14ac:dyDescent="0.25">
      <c r="A7" s="1" t="str">
        <f>"3811"</f>
        <v>3811</v>
      </c>
      <c r="B7" s="1" t="str">
        <f>"Medlemsavgifter"</f>
        <v>Medlemsavgifter</v>
      </c>
      <c r="C7" s="56">
        <v>38000</v>
      </c>
      <c r="D7" s="26">
        <v>37000</v>
      </c>
      <c r="E7" s="26">
        <v>37250</v>
      </c>
      <c r="F7" s="26">
        <v>39000</v>
      </c>
      <c r="G7" s="26">
        <v>34250</v>
      </c>
      <c r="H7" s="26">
        <v>35250</v>
      </c>
      <c r="I7" s="26">
        <v>30500</v>
      </c>
      <c r="J7" s="26">
        <v>28500</v>
      </c>
      <c r="K7" s="26">
        <v>28000</v>
      </c>
      <c r="L7" s="26">
        <v>27750</v>
      </c>
      <c r="M7" s="26">
        <v>27700</v>
      </c>
      <c r="N7" s="26">
        <v>34350</v>
      </c>
    </row>
    <row r="8" spans="1:14" outlineLevel="1" x14ac:dyDescent="0.25">
      <c r="A8" s="1" t="str">
        <f>"3816"</f>
        <v>3816</v>
      </c>
      <c r="B8" s="1" t="str">
        <f>"Medlemsavgift familj"</f>
        <v>Medlemsavgift familj</v>
      </c>
      <c r="C8" s="56">
        <v>12000</v>
      </c>
      <c r="D8" s="26">
        <v>12000</v>
      </c>
      <c r="E8" s="26">
        <v>11200</v>
      </c>
      <c r="F8" s="26">
        <v>11200</v>
      </c>
      <c r="G8" s="26">
        <v>11200</v>
      </c>
      <c r="H8" s="26">
        <v>10800</v>
      </c>
      <c r="I8" s="26">
        <v>9600</v>
      </c>
      <c r="J8" s="26">
        <v>10000</v>
      </c>
      <c r="K8" s="26">
        <v>12400</v>
      </c>
      <c r="L8" s="26">
        <v>12800</v>
      </c>
      <c r="M8" s="26">
        <v>9600</v>
      </c>
      <c r="N8" s="26">
        <v>10000</v>
      </c>
    </row>
    <row r="9" spans="1:14" outlineLevel="1" x14ac:dyDescent="0.25">
      <c r="A9" s="1" t="str">
        <f>"3820"</f>
        <v>3820</v>
      </c>
      <c r="B9" s="1" t="s">
        <v>46</v>
      </c>
      <c r="C9" s="56">
        <v>5000</v>
      </c>
      <c r="D9" s="26">
        <v>5000</v>
      </c>
      <c r="E9" s="26">
        <v>3913</v>
      </c>
      <c r="F9" s="26">
        <v>3700</v>
      </c>
      <c r="G9" s="26">
        <v>0</v>
      </c>
      <c r="H9" s="26">
        <v>1273.51</v>
      </c>
      <c r="I9" s="26">
        <v>0</v>
      </c>
      <c r="J9" s="26">
        <v>500</v>
      </c>
      <c r="K9" s="26">
        <v>2876</v>
      </c>
      <c r="L9" s="26">
        <v>700</v>
      </c>
      <c r="M9" s="26">
        <v>15170</v>
      </c>
      <c r="N9" s="26">
        <v>1245</v>
      </c>
    </row>
    <row r="10" spans="1:14" outlineLevel="1" x14ac:dyDescent="0.25">
      <c r="A10" s="1" t="str">
        <f>"3821"</f>
        <v>3821</v>
      </c>
      <c r="B10" s="1" t="str">
        <f>"Kran sjösättning"</f>
        <v>Kran sjösättning</v>
      </c>
      <c r="C10" s="56">
        <v>44000</v>
      </c>
      <c r="D10" s="26">
        <v>46000</v>
      </c>
      <c r="E10" s="26">
        <v>38400</v>
      </c>
      <c r="F10" s="26">
        <v>46000</v>
      </c>
      <c r="G10" s="26">
        <v>46000</v>
      </c>
      <c r="H10" s="26">
        <v>40400</v>
      </c>
      <c r="I10" s="26">
        <v>40800</v>
      </c>
      <c r="J10" s="26">
        <v>41600</v>
      </c>
      <c r="K10" s="26">
        <v>44000</v>
      </c>
      <c r="L10" s="26">
        <v>37000</v>
      </c>
      <c r="M10" s="26">
        <v>74200</v>
      </c>
      <c r="N10" s="26">
        <v>95050</v>
      </c>
    </row>
    <row r="11" spans="1:14" outlineLevel="1" x14ac:dyDescent="0.25">
      <c r="A11" s="1" t="str">
        <f>"3822"</f>
        <v>3822</v>
      </c>
      <c r="B11" s="1" t="str">
        <f>"Kran upptagning"</f>
        <v>Kran upptagning</v>
      </c>
      <c r="C11" s="56">
        <v>50000</v>
      </c>
      <c r="D11" s="26">
        <v>50000</v>
      </c>
      <c r="E11" s="26">
        <v>47200</v>
      </c>
      <c r="F11" s="26">
        <v>49600</v>
      </c>
      <c r="G11" s="26">
        <v>50800</v>
      </c>
      <c r="H11" s="26">
        <v>50800</v>
      </c>
      <c r="I11" s="26">
        <v>48400</v>
      </c>
      <c r="J11" s="26">
        <v>52000</v>
      </c>
      <c r="K11" s="26">
        <v>51200</v>
      </c>
      <c r="L11" s="26">
        <v>44000</v>
      </c>
      <c r="M11" s="26">
        <v>0</v>
      </c>
      <c r="N11" s="26"/>
    </row>
    <row r="12" spans="1:14" outlineLevel="1" x14ac:dyDescent="0.25">
      <c r="A12" s="1" t="str">
        <f>"3823"</f>
        <v>3823</v>
      </c>
      <c r="B12" s="1" t="str">
        <f>"Uppläggning plan"</f>
        <v>Uppläggning plan</v>
      </c>
      <c r="C12" s="56">
        <v>31000</v>
      </c>
      <c r="D12" s="26">
        <v>24000</v>
      </c>
      <c r="E12" s="26">
        <v>30750</v>
      </c>
      <c r="F12" s="26">
        <v>23250</v>
      </c>
      <c r="G12" s="26">
        <v>19500</v>
      </c>
      <c r="H12" s="26">
        <v>14425</v>
      </c>
      <c r="I12" s="26">
        <v>24375</v>
      </c>
      <c r="J12" s="26">
        <v>30750</v>
      </c>
      <c r="K12" s="26">
        <v>22750</v>
      </c>
      <c r="L12" s="26">
        <v>25875</v>
      </c>
      <c r="M12" s="26">
        <v>21000</v>
      </c>
      <c r="N12" s="26">
        <v>28900</v>
      </c>
    </row>
    <row r="13" spans="1:14" outlineLevel="1" x14ac:dyDescent="0.25">
      <c r="A13" s="1" t="str">
        <f>"3824"</f>
        <v>3824</v>
      </c>
      <c r="B13" s="1" t="str">
        <f>"Uppläggning skjul"</f>
        <v>Uppläggning skjul</v>
      </c>
      <c r="C13" s="56">
        <v>17100</v>
      </c>
      <c r="D13" s="26">
        <v>17100</v>
      </c>
      <c r="E13" s="26">
        <v>17100</v>
      </c>
      <c r="F13" s="26">
        <v>16650</v>
      </c>
      <c r="G13" s="26">
        <v>18000</v>
      </c>
      <c r="H13" s="26">
        <v>16200</v>
      </c>
      <c r="I13" s="26">
        <v>17100</v>
      </c>
      <c r="J13" s="26">
        <v>17100</v>
      </c>
      <c r="K13" s="26">
        <v>17550</v>
      </c>
      <c r="L13" s="26">
        <v>17475</v>
      </c>
      <c r="M13" s="26">
        <v>16200</v>
      </c>
      <c r="N13" s="26">
        <v>24750</v>
      </c>
    </row>
    <row r="14" spans="1:14" outlineLevel="1" x14ac:dyDescent="0.25">
      <c r="A14" s="20" t="s">
        <v>24</v>
      </c>
      <c r="B14" s="20" t="s">
        <v>25</v>
      </c>
      <c r="C14" s="57">
        <v>0</v>
      </c>
      <c r="D14" s="27">
        <v>0</v>
      </c>
      <c r="E14" s="27">
        <v>0</v>
      </c>
      <c r="F14" s="27">
        <v>4500</v>
      </c>
      <c r="G14" s="27"/>
      <c r="H14" s="27"/>
      <c r="I14" s="27">
        <v>0</v>
      </c>
      <c r="J14" s="27">
        <v>0</v>
      </c>
      <c r="K14" s="27">
        <v>12000</v>
      </c>
      <c r="L14" s="27"/>
      <c r="M14" s="27"/>
      <c r="N14" s="27"/>
    </row>
    <row r="15" spans="1:14" outlineLevel="1" x14ac:dyDescent="0.25">
      <c r="A15" s="4" t="s">
        <v>4</v>
      </c>
      <c r="B15" s="5"/>
      <c r="C15" s="33">
        <f>(SUM(C3:C14))*1</f>
        <v>210800</v>
      </c>
      <c r="D15" s="33">
        <f>(SUM(D3:D14))*1</f>
        <v>207100</v>
      </c>
      <c r="E15" s="33">
        <f>SUM(E3:E14)</f>
        <v>202563</v>
      </c>
      <c r="F15" s="33">
        <f>SUM(F3:F14)</f>
        <v>208651</v>
      </c>
      <c r="G15" s="33">
        <f>SUM(G3:G14)</f>
        <v>191970.04</v>
      </c>
      <c r="H15" s="33">
        <f>SUM(H3:H14)</f>
        <v>187732.51</v>
      </c>
      <c r="I15" s="33">
        <f>SUM(I3:I14)</f>
        <v>183243</v>
      </c>
      <c r="J15" s="33">
        <v>222913</v>
      </c>
      <c r="K15" s="33">
        <f>SUM(K3:K14)</f>
        <v>193497</v>
      </c>
      <c r="L15" s="33">
        <f t="shared" ref="L15:N15" si="0">SUM(L3:L14)</f>
        <v>165904</v>
      </c>
      <c r="M15" s="33">
        <f t="shared" si="0"/>
        <v>193870</v>
      </c>
      <c r="N15" s="33">
        <f t="shared" si="0"/>
        <v>194295</v>
      </c>
    </row>
    <row r="16" spans="1:14" outlineLevel="1" x14ac:dyDescent="0.25">
      <c r="C16" s="26"/>
      <c r="D16" s="26"/>
      <c r="E16" s="26"/>
      <c r="F16" s="26"/>
      <c r="G16" s="26"/>
      <c r="H16" s="26"/>
      <c r="I16" s="25"/>
      <c r="J16" s="25"/>
      <c r="K16" s="25"/>
      <c r="L16" s="28"/>
      <c r="M16" s="28"/>
      <c r="N16" s="28"/>
    </row>
    <row r="17" spans="1:14" outlineLevel="1" x14ac:dyDescent="0.25">
      <c r="A17" s="4" t="str">
        <f>"Rörelsens kostnader"</f>
        <v>Rörelsens kostnader</v>
      </c>
      <c r="C17" s="26"/>
      <c r="D17" s="26"/>
      <c r="E17" s="26"/>
      <c r="F17" s="26"/>
      <c r="G17" s="26"/>
      <c r="H17" s="26"/>
      <c r="I17" s="25"/>
      <c r="J17" s="25"/>
      <c r="K17" s="25"/>
      <c r="L17" s="28"/>
      <c r="M17" s="28"/>
      <c r="N17" s="28"/>
    </row>
    <row r="18" spans="1:14" outlineLevel="1" x14ac:dyDescent="0.25">
      <c r="A18" s="24" t="str">
        <f>"4012"</f>
        <v>4012</v>
      </c>
      <c r="B18" s="24" t="s">
        <v>41</v>
      </c>
      <c r="C18" s="58">
        <v>-18200</v>
      </c>
      <c r="D18" s="34">
        <v>-17000</v>
      </c>
      <c r="E18" s="34">
        <v>-17370</v>
      </c>
      <c r="F18" s="34">
        <v>-14040</v>
      </c>
      <c r="G18" s="34">
        <v>-12782</v>
      </c>
      <c r="H18" s="34">
        <v>-11480</v>
      </c>
      <c r="I18" s="34">
        <v>0</v>
      </c>
      <c r="J18" s="34">
        <v>0</v>
      </c>
      <c r="K18" s="34">
        <v>0</v>
      </c>
      <c r="L18" s="34">
        <v>-357</v>
      </c>
      <c r="M18" s="34">
        <v>0</v>
      </c>
      <c r="N18" s="34">
        <v>-9328</v>
      </c>
    </row>
    <row r="19" spans="1:14" outlineLevel="1" x14ac:dyDescent="0.25">
      <c r="A19" s="24" t="str">
        <f>"4050"</f>
        <v>4050</v>
      </c>
      <c r="B19" s="24" t="str">
        <f>"Porto"</f>
        <v>Porto</v>
      </c>
      <c r="C19" s="58">
        <v>-2000</v>
      </c>
      <c r="D19" s="34">
        <v>-1200</v>
      </c>
      <c r="E19" s="34">
        <v>0</v>
      </c>
      <c r="F19" s="34">
        <v>-2749.7</v>
      </c>
      <c r="G19" s="34">
        <v>-612</v>
      </c>
      <c r="H19" s="34">
        <v>-1650</v>
      </c>
      <c r="I19" s="34">
        <v>-1620</v>
      </c>
      <c r="J19" s="34">
        <v>-900</v>
      </c>
      <c r="K19" s="34">
        <v>-700</v>
      </c>
      <c r="L19" s="34">
        <v>-169</v>
      </c>
      <c r="M19" s="34">
        <v>-1345</v>
      </c>
      <c r="N19" s="34">
        <v>-700</v>
      </c>
    </row>
    <row r="20" spans="1:14" outlineLevel="1" x14ac:dyDescent="0.25">
      <c r="A20" s="24" t="str">
        <f>"4053"</f>
        <v>4053</v>
      </c>
      <c r="B20" s="24" t="str">
        <f>"Programkostnader"</f>
        <v>Programkostnader</v>
      </c>
      <c r="C20" s="58">
        <v>-2000</v>
      </c>
      <c r="D20" s="34">
        <v>-2000</v>
      </c>
      <c r="E20" s="34">
        <v>-1208</v>
      </c>
      <c r="F20" s="34">
        <v>-1638</v>
      </c>
      <c r="G20" s="34">
        <v>-1737</v>
      </c>
      <c r="H20" s="34">
        <v>-1727.73</v>
      </c>
      <c r="I20" s="34">
        <v>-1485</v>
      </c>
      <c r="J20" s="34">
        <v>-1395</v>
      </c>
      <c r="K20" s="34">
        <v>-1360</v>
      </c>
      <c r="L20" s="34">
        <v>-1320</v>
      </c>
      <c r="M20" s="34">
        <v>-1300</v>
      </c>
      <c r="N20" s="34">
        <v>-1265</v>
      </c>
    </row>
    <row r="21" spans="1:14" outlineLevel="1" x14ac:dyDescent="0.25">
      <c r="A21" s="24" t="str">
        <f>"4054"</f>
        <v>4054</v>
      </c>
      <c r="B21" s="24" t="str">
        <f>"Kontorsmaterial"</f>
        <v>Kontorsmaterial</v>
      </c>
      <c r="C21" s="58">
        <v>-1000</v>
      </c>
      <c r="D21" s="34">
        <v>-1000</v>
      </c>
      <c r="E21" s="34">
        <v>-586.25</v>
      </c>
      <c r="F21" s="34">
        <v>-1229.7</v>
      </c>
      <c r="G21" s="34">
        <v>-144</v>
      </c>
      <c r="H21" s="34">
        <v>-508</v>
      </c>
      <c r="I21" s="34">
        <v>-375.5</v>
      </c>
      <c r="J21" s="34">
        <v>0</v>
      </c>
      <c r="K21" s="34">
        <v>-276</v>
      </c>
      <c r="L21" s="34">
        <v>-793</v>
      </c>
      <c r="M21" s="34">
        <v>-697.5</v>
      </c>
      <c r="N21" s="34">
        <v>-291</v>
      </c>
    </row>
    <row r="22" spans="1:14" outlineLevel="1" x14ac:dyDescent="0.25">
      <c r="A22" s="24" t="s">
        <v>3</v>
      </c>
      <c r="B22" s="24" t="str">
        <f>"IT-utrustning"</f>
        <v>IT-utrustning</v>
      </c>
      <c r="C22" s="58">
        <v>-6000</v>
      </c>
      <c r="D22" s="34">
        <v>-6000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-8819</v>
      </c>
    </row>
    <row r="23" spans="1:14" outlineLevel="1" x14ac:dyDescent="0.25">
      <c r="A23" s="24" t="str">
        <f>"4056"</f>
        <v>4056</v>
      </c>
      <c r="B23" s="24" t="str">
        <f>"Annonsering"</f>
        <v>Annonsering</v>
      </c>
      <c r="C23" s="58">
        <v>-1000</v>
      </c>
      <c r="D23" s="34">
        <v>-1500</v>
      </c>
      <c r="E23" s="34">
        <v>-653</v>
      </c>
      <c r="F23" s="34">
        <v>0</v>
      </c>
      <c r="G23" s="34">
        <v>0</v>
      </c>
      <c r="H23" s="34">
        <v>0</v>
      </c>
      <c r="I23" s="34">
        <v>-394</v>
      </c>
      <c r="J23" s="34">
        <v>-974</v>
      </c>
      <c r="K23" s="34">
        <v>-2246</v>
      </c>
      <c r="L23" s="34">
        <v>0</v>
      </c>
      <c r="M23" s="34">
        <v>-738</v>
      </c>
      <c r="N23" s="34">
        <v>-1318</v>
      </c>
    </row>
    <row r="24" spans="1:14" outlineLevel="1" x14ac:dyDescent="0.25">
      <c r="A24" s="24" t="str">
        <f>"4059"</f>
        <v>4059</v>
      </c>
      <c r="B24" s="24" t="str">
        <f>"Webbhotell"</f>
        <v>Webbhotell</v>
      </c>
      <c r="C24" s="58">
        <v>-1500</v>
      </c>
      <c r="D24" s="34">
        <v>-400</v>
      </c>
      <c r="E24" s="34">
        <v>-1406.41</v>
      </c>
      <c r="F24" s="34">
        <v>-306.25</v>
      </c>
      <c r="G24" s="34">
        <v>-161</v>
      </c>
      <c r="H24" s="34">
        <v>-139</v>
      </c>
      <c r="I24" s="34">
        <v>-139</v>
      </c>
      <c r="J24" s="34">
        <v>-1606</v>
      </c>
      <c r="K24" s="34">
        <v>-119</v>
      </c>
      <c r="L24" s="34">
        <v>-1467</v>
      </c>
      <c r="M24" s="34">
        <v>-1467</v>
      </c>
      <c r="N24" s="34">
        <v>0</v>
      </c>
    </row>
    <row r="25" spans="1:14" outlineLevel="1" x14ac:dyDescent="0.25">
      <c r="A25" s="24" t="str">
        <f>"4063"</f>
        <v>4063</v>
      </c>
      <c r="B25" s="24" t="str">
        <f>"Bokföring"</f>
        <v>Bokföring</v>
      </c>
      <c r="C25" s="58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-10688</v>
      </c>
      <c r="M25" s="34">
        <v>-15001</v>
      </c>
      <c r="N25" s="34">
        <v>-5001</v>
      </c>
    </row>
    <row r="26" spans="1:14" outlineLevel="1" x14ac:dyDescent="0.25">
      <c r="A26" s="23" t="str">
        <f>"4151"</f>
        <v>4151</v>
      </c>
      <c r="B26" s="23" t="str">
        <f>"Arrende Kranområde"</f>
        <v>Arrende Kranområde</v>
      </c>
      <c r="C26" s="36">
        <v>-1008</v>
      </c>
      <c r="D26" s="35">
        <v>-1008</v>
      </c>
      <c r="E26" s="35">
        <v>-1008</v>
      </c>
      <c r="F26" s="35">
        <v>-1008</v>
      </c>
      <c r="G26" s="35">
        <v>-1008</v>
      </c>
      <c r="H26" s="35">
        <v>-1008</v>
      </c>
      <c r="I26" s="35">
        <v>0</v>
      </c>
      <c r="J26" s="35">
        <v>-1008</v>
      </c>
      <c r="K26" s="35">
        <v>-1008</v>
      </c>
      <c r="L26" s="35">
        <v>-2016</v>
      </c>
      <c r="M26" s="35">
        <v>0</v>
      </c>
      <c r="N26" s="35">
        <v>-1008</v>
      </c>
    </row>
    <row r="27" spans="1:14" outlineLevel="1" x14ac:dyDescent="0.25">
      <c r="A27" s="23" t="str">
        <f>"4152"</f>
        <v>4152</v>
      </c>
      <c r="B27" s="23" t="str">
        <f>"El Kranområde"</f>
        <v>El Kranområde</v>
      </c>
      <c r="C27" s="36">
        <v>-30000</v>
      </c>
      <c r="D27" s="35">
        <v>-37000</v>
      </c>
      <c r="E27" s="35">
        <v>-25779.62</v>
      </c>
      <c r="F27" s="35">
        <v>-35919.89</v>
      </c>
      <c r="G27" s="35">
        <v>-36290</v>
      </c>
      <c r="H27" s="35">
        <v>-29437.65</v>
      </c>
      <c r="I27" s="35">
        <v>-31962.17</v>
      </c>
      <c r="J27" s="35">
        <v>-28827.23</v>
      </c>
      <c r="K27" s="35">
        <v>-22288</v>
      </c>
      <c r="L27" s="35">
        <v>-18564.47</v>
      </c>
      <c r="M27" s="35">
        <v>-18668.830000000002</v>
      </c>
      <c r="N27" s="35">
        <v>-21623.5</v>
      </c>
    </row>
    <row r="28" spans="1:14" outlineLevel="1" x14ac:dyDescent="0.25">
      <c r="A28" s="23" t="str">
        <f>"4153"</f>
        <v>4153</v>
      </c>
      <c r="B28" s="23" t="str">
        <f>"Vatten Kranområde"</f>
        <v>Vatten Kranområde</v>
      </c>
      <c r="C28" s="36">
        <v>-5800</v>
      </c>
      <c r="D28" s="35">
        <v>-4200</v>
      </c>
      <c r="E28" s="35">
        <v>-5456</v>
      </c>
      <c r="F28" s="35">
        <v>-3734</v>
      </c>
      <c r="G28" s="35">
        <v>-4011</v>
      </c>
      <c r="H28" s="35">
        <v>-3799</v>
      </c>
      <c r="I28" s="35">
        <v>-8792</v>
      </c>
      <c r="J28" s="35">
        <v>-665</v>
      </c>
      <c r="K28" s="35">
        <v>-3525</v>
      </c>
      <c r="L28" s="35">
        <v>-3768</v>
      </c>
      <c r="M28" s="35">
        <v>-4354.1499999999996</v>
      </c>
      <c r="N28" s="35">
        <v>-5815.27</v>
      </c>
    </row>
    <row r="29" spans="1:14" outlineLevel="1" x14ac:dyDescent="0.25">
      <c r="A29" s="23" t="str">
        <f>"4154"</f>
        <v>4154</v>
      </c>
      <c r="B29" s="23" t="str">
        <f>"Tillståndsavgifter"</f>
        <v>Tillståndsavgifter</v>
      </c>
      <c r="C29" s="36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-2003</v>
      </c>
      <c r="N29" s="35">
        <v>0</v>
      </c>
    </row>
    <row r="30" spans="1:14" outlineLevel="1" x14ac:dyDescent="0.25">
      <c r="A30" s="23" t="s">
        <v>34</v>
      </c>
      <c r="B30" s="23" t="s">
        <v>35</v>
      </c>
      <c r="C30" s="36">
        <v>0</v>
      </c>
      <c r="D30" s="35">
        <v>-2000</v>
      </c>
      <c r="E30" s="35">
        <v>0</v>
      </c>
      <c r="F30" s="35">
        <v>0</v>
      </c>
      <c r="G30" s="35">
        <v>0</v>
      </c>
      <c r="H30" s="35">
        <v>-3547</v>
      </c>
      <c r="I30" s="35">
        <v>-13099.13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</row>
    <row r="31" spans="1:14" outlineLevel="1" x14ac:dyDescent="0.25">
      <c r="A31" s="23" t="str">
        <f>"4156"</f>
        <v>4156</v>
      </c>
      <c r="B31" s="23" t="str">
        <f>"Övr. kost. Kranområde"</f>
        <v>Övr. kost. Kranområde</v>
      </c>
      <c r="C31" s="36">
        <v>-15000</v>
      </c>
      <c r="D31" s="35">
        <v>-30000</v>
      </c>
      <c r="E31" s="35">
        <v>-19989.13</v>
      </c>
      <c r="F31" s="35">
        <v>-13299.6</v>
      </c>
      <c r="G31" s="35">
        <v>-8313</v>
      </c>
      <c r="H31" s="35">
        <v>-9147</v>
      </c>
      <c r="I31" s="35">
        <v>-7648.75</v>
      </c>
      <c r="J31" s="35">
        <v>-23496</v>
      </c>
      <c r="K31" s="35">
        <v>-21452</v>
      </c>
      <c r="L31" s="35">
        <v>-50207</v>
      </c>
      <c r="M31" s="35">
        <v>-24589.97</v>
      </c>
      <c r="N31" s="35">
        <v>-14978.89</v>
      </c>
    </row>
    <row r="32" spans="1:14" outlineLevel="1" x14ac:dyDescent="0.25">
      <c r="A32" s="23" t="s">
        <v>42</v>
      </c>
      <c r="B32" s="23" t="s">
        <v>43</v>
      </c>
      <c r="C32" s="36">
        <v>-2400</v>
      </c>
      <c r="D32" s="35">
        <v>-2400</v>
      </c>
      <c r="E32" s="35">
        <v>0</v>
      </c>
      <c r="F32" s="35">
        <v>-1908</v>
      </c>
      <c r="G32" s="35">
        <v>-4972</v>
      </c>
      <c r="H32" s="35">
        <v>-5310</v>
      </c>
      <c r="I32" s="35"/>
      <c r="J32" s="35"/>
      <c r="K32" s="35"/>
      <c r="L32" s="35"/>
      <c r="M32" s="35"/>
      <c r="N32" s="35"/>
    </row>
    <row r="33" spans="1:14" outlineLevel="1" x14ac:dyDescent="0.25">
      <c r="A33" s="23" t="str">
        <f>"4158"</f>
        <v>4158</v>
      </c>
      <c r="B33" s="23" t="str">
        <f>"Sly- och gräsröjning"</f>
        <v>Sly- och gräsröjning</v>
      </c>
      <c r="C33" s="36">
        <v>-5000</v>
      </c>
      <c r="D33" s="35">
        <v>-9000</v>
      </c>
      <c r="E33" s="35">
        <v>-2188</v>
      </c>
      <c r="F33" s="35">
        <v>-8750</v>
      </c>
      <c r="G33" s="35">
        <v>0</v>
      </c>
      <c r="H33" s="35">
        <v>-3250</v>
      </c>
      <c r="I33" s="35">
        <v>-9250</v>
      </c>
      <c r="J33" s="35">
        <v>-2500</v>
      </c>
      <c r="K33" s="35">
        <v>0</v>
      </c>
      <c r="L33" s="35">
        <v>-900</v>
      </c>
      <c r="M33" s="35">
        <v>-2125</v>
      </c>
      <c r="N33" s="35">
        <v>-4630</v>
      </c>
    </row>
    <row r="34" spans="1:14" outlineLevel="1" x14ac:dyDescent="0.25">
      <c r="A34" s="23" t="str">
        <f>"4159"</f>
        <v>4159</v>
      </c>
      <c r="B34" s="23" t="str">
        <f>"Fastighetsskatt"</f>
        <v>Fastighetsskatt</v>
      </c>
      <c r="C34" s="36">
        <v>-4500</v>
      </c>
      <c r="D34" s="35">
        <v>-4450</v>
      </c>
      <c r="E34" s="35">
        <v>-3765</v>
      </c>
      <c r="F34" s="35">
        <v>-3765</v>
      </c>
      <c r="G34" s="35">
        <v>-3765</v>
      </c>
      <c r="H34" s="35">
        <v>-3080</v>
      </c>
      <c r="I34" s="35">
        <v>-4450</v>
      </c>
      <c r="J34" s="35">
        <v>-4450</v>
      </c>
      <c r="K34" s="35">
        <v>-4450</v>
      </c>
      <c r="L34" s="35">
        <v>-8900</v>
      </c>
      <c r="M34" s="35">
        <v>-4450</v>
      </c>
      <c r="N34" s="35">
        <v>-4450</v>
      </c>
    </row>
    <row r="35" spans="1:14" outlineLevel="1" x14ac:dyDescent="0.25">
      <c r="A35" s="23" t="str">
        <f>"4160"</f>
        <v>4160</v>
      </c>
      <c r="B35" s="23" t="str">
        <f>"Kranprov"</f>
        <v>Kranprov</v>
      </c>
      <c r="C35" s="36">
        <v>-4000</v>
      </c>
      <c r="D35" s="35">
        <v>-5000</v>
      </c>
      <c r="E35" s="35">
        <v>-3415</v>
      </c>
      <c r="F35" s="35">
        <v>-3278</v>
      </c>
      <c r="G35" s="35">
        <v>-3134</v>
      </c>
      <c r="H35" s="35">
        <v>-3066</v>
      </c>
      <c r="I35" s="35">
        <v>-2970</v>
      </c>
      <c r="J35" s="35">
        <v>-2914</v>
      </c>
      <c r="K35" s="35">
        <v>-2493</v>
      </c>
      <c r="L35" s="35">
        <v>-2440</v>
      </c>
      <c r="M35" s="35">
        <v>-2369</v>
      </c>
      <c r="N35" s="35">
        <v>-4476</v>
      </c>
    </row>
    <row r="36" spans="1:14" outlineLevel="1" x14ac:dyDescent="0.25">
      <c r="A36" s="23" t="str">
        <f>"4161"</f>
        <v>4161</v>
      </c>
      <c r="B36" s="23" t="str">
        <f>"Kranreparation"</f>
        <v>Kranreparation</v>
      </c>
      <c r="C36" s="36">
        <v>-25000</v>
      </c>
      <c r="D36" s="35">
        <v>-50000</v>
      </c>
      <c r="E36" s="35">
        <v>-29578.5</v>
      </c>
      <c r="F36" s="35">
        <v>-6644.5</v>
      </c>
      <c r="G36" s="35">
        <v>-2625</v>
      </c>
      <c r="H36" s="35">
        <v>-1168</v>
      </c>
      <c r="I36" s="35">
        <v>-21119</v>
      </c>
      <c r="J36" s="35">
        <v>-2467</v>
      </c>
      <c r="K36" s="35">
        <v>-8847</v>
      </c>
      <c r="L36" s="35">
        <v>0</v>
      </c>
      <c r="M36" s="35">
        <v>-10598</v>
      </c>
      <c r="N36" s="35">
        <v>-8090</v>
      </c>
    </row>
    <row r="37" spans="1:14" outlineLevel="1" x14ac:dyDescent="0.25">
      <c r="A37" s="23" t="str">
        <f>"4162"</f>
        <v>4162</v>
      </c>
      <c r="B37" s="23" t="s">
        <v>45</v>
      </c>
      <c r="C37" s="36">
        <v>0</v>
      </c>
      <c r="D37" s="36">
        <v>-5000</v>
      </c>
      <c r="E37" s="36">
        <v>0</v>
      </c>
      <c r="F37" s="36">
        <v>0</v>
      </c>
      <c r="G37" s="36">
        <v>0</v>
      </c>
      <c r="H37" s="36">
        <v>0</v>
      </c>
      <c r="I37" s="36" t="s">
        <v>36</v>
      </c>
      <c r="J37" s="36">
        <v>0</v>
      </c>
      <c r="K37" s="36">
        <v>-3237</v>
      </c>
      <c r="L37" s="36"/>
      <c r="M37" s="36"/>
      <c r="N37" s="36">
        <v>-445</v>
      </c>
    </row>
    <row r="38" spans="1:14" outlineLevel="1" x14ac:dyDescent="0.25">
      <c r="A38" s="22" t="str">
        <f>"4171"</f>
        <v>4171</v>
      </c>
      <c r="B38" s="22" t="str">
        <f>"Skatt &amp; Försäkring Traktor"</f>
        <v>Skatt &amp; Försäkring Traktor</v>
      </c>
      <c r="C38" s="59">
        <v>-2000</v>
      </c>
      <c r="D38" s="37">
        <v>-2000</v>
      </c>
      <c r="E38" s="37">
        <v>-1794</v>
      </c>
      <c r="F38" s="37">
        <v>-1723</v>
      </c>
      <c r="G38" s="37">
        <v>-1770</v>
      </c>
      <c r="H38" s="37">
        <v>-1737</v>
      </c>
      <c r="I38" s="37">
        <v>-1734</v>
      </c>
      <c r="J38" s="37">
        <v>-1727</v>
      </c>
      <c r="K38" s="37">
        <v>-1675</v>
      </c>
      <c r="L38" s="37">
        <v>-1653</v>
      </c>
      <c r="M38" s="37">
        <v>-1633</v>
      </c>
      <c r="N38" s="37">
        <v>-524</v>
      </c>
    </row>
    <row r="39" spans="1:14" outlineLevel="1" x14ac:dyDescent="0.25">
      <c r="A39" s="22" t="str">
        <f>"4172"</f>
        <v>4172</v>
      </c>
      <c r="B39" s="22" t="str">
        <f>"Drivmedel Traktor"</f>
        <v>Drivmedel Traktor</v>
      </c>
      <c r="C39" s="59">
        <v>-3000</v>
      </c>
      <c r="D39" s="37">
        <v>-3000</v>
      </c>
      <c r="E39" s="37">
        <v>-2806.24</v>
      </c>
      <c r="F39" s="37">
        <v>-2668.75</v>
      </c>
      <c r="G39" s="37">
        <v>-2515.81</v>
      </c>
      <c r="H39" s="37">
        <v>-3330.39</v>
      </c>
      <c r="I39" s="37">
        <v>-3996.73</v>
      </c>
      <c r="J39" s="37">
        <v>-2092.63</v>
      </c>
      <c r="K39" s="37">
        <v>-1953</v>
      </c>
      <c r="L39" s="37">
        <v>-1783.72</v>
      </c>
      <c r="M39" s="37">
        <v>-1561.23</v>
      </c>
      <c r="N39" s="37">
        <v>-1449.66</v>
      </c>
    </row>
    <row r="40" spans="1:14" outlineLevel="1" x14ac:dyDescent="0.25">
      <c r="A40" s="22" t="str">
        <f>"4173"</f>
        <v>4173</v>
      </c>
      <c r="B40" s="22" t="str">
        <f>"Reparation Traktor"</f>
        <v>Reparation Traktor</v>
      </c>
      <c r="C40" s="59">
        <v>-10000</v>
      </c>
      <c r="D40" s="37">
        <v>-10000</v>
      </c>
      <c r="E40" s="37">
        <v>0</v>
      </c>
      <c r="F40" s="37">
        <v>-1016</v>
      </c>
      <c r="G40" s="37">
        <v>-423</v>
      </c>
      <c r="H40" s="37">
        <v>-8115</v>
      </c>
      <c r="I40" s="37">
        <v>-5984</v>
      </c>
      <c r="J40" s="37">
        <v>-17904.5</v>
      </c>
      <c r="K40" s="37">
        <v>-1984</v>
      </c>
      <c r="L40" s="37">
        <v>-10959</v>
      </c>
      <c r="M40" s="37">
        <v>-3941</v>
      </c>
      <c r="N40" s="37">
        <v>-1545</v>
      </c>
    </row>
    <row r="41" spans="1:14" outlineLevel="1" x14ac:dyDescent="0.25">
      <c r="A41" s="22" t="str">
        <f>"4174"</f>
        <v>4174</v>
      </c>
      <c r="B41" s="22" t="str">
        <f>"Kostnader Släpvagn KZH640"</f>
        <v>Kostnader Släpvagn KZH640</v>
      </c>
      <c r="C41" s="59">
        <v>-65</v>
      </c>
      <c r="D41" s="37">
        <v>-65</v>
      </c>
      <c r="E41" s="37">
        <v>-62</v>
      </c>
      <c r="F41" s="37">
        <v>-75</v>
      </c>
      <c r="G41" s="37">
        <v>-65</v>
      </c>
      <c r="H41" s="37">
        <v>-65</v>
      </c>
      <c r="I41" s="37">
        <v>-65</v>
      </c>
      <c r="J41" s="37">
        <v>-50</v>
      </c>
      <c r="K41" s="37">
        <v>-50</v>
      </c>
      <c r="L41" s="37">
        <v>-50</v>
      </c>
      <c r="M41" s="37">
        <v>-60</v>
      </c>
      <c r="N41" s="37">
        <v>-65</v>
      </c>
    </row>
    <row r="42" spans="1:14" outlineLevel="1" x14ac:dyDescent="0.25">
      <c r="A42" s="21" t="str">
        <f>"4201"</f>
        <v>4201</v>
      </c>
      <c r="B42" s="21" t="str">
        <f>"Arrende Sandön"</f>
        <v>Arrende Sandön</v>
      </c>
      <c r="C42" s="60">
        <v>-5000</v>
      </c>
      <c r="D42" s="38">
        <v>-5000</v>
      </c>
      <c r="E42" s="38">
        <v>-5000</v>
      </c>
      <c r="F42" s="38">
        <v>-5000</v>
      </c>
      <c r="G42" s="38">
        <v>-5000</v>
      </c>
      <c r="H42" s="38">
        <v>-5000</v>
      </c>
      <c r="I42" s="38">
        <v>-5000</v>
      </c>
      <c r="J42" s="38">
        <v>-5000</v>
      </c>
      <c r="K42" s="38">
        <v>-5000</v>
      </c>
      <c r="L42" s="38">
        <v>-15000</v>
      </c>
      <c r="M42" s="38">
        <v>0</v>
      </c>
      <c r="N42" s="38"/>
    </row>
    <row r="43" spans="1:14" outlineLevel="1" x14ac:dyDescent="0.25">
      <c r="A43" s="21" t="str">
        <f>"4203"</f>
        <v>4203</v>
      </c>
      <c r="B43" s="21" t="str">
        <f>"Bryggmaterial Sandön"</f>
        <v>Bryggmaterial Sandön</v>
      </c>
      <c r="C43" s="60">
        <v>-20000</v>
      </c>
      <c r="D43" s="38">
        <v>0</v>
      </c>
      <c r="E43" s="38">
        <v>-23344.2</v>
      </c>
      <c r="F43" s="38">
        <v>0</v>
      </c>
      <c r="G43" s="38">
        <v>-3944</v>
      </c>
      <c r="H43" s="38">
        <v>-4584</v>
      </c>
      <c r="I43" s="38">
        <v>-54292</v>
      </c>
      <c r="J43" s="38">
        <v>-13694</v>
      </c>
      <c r="K43" s="38">
        <v>0</v>
      </c>
      <c r="L43" s="38">
        <v>-24993</v>
      </c>
      <c r="M43" s="38">
        <v>-1500</v>
      </c>
      <c r="N43" s="38">
        <v>0</v>
      </c>
    </row>
    <row r="44" spans="1:14" outlineLevel="1" x14ac:dyDescent="0.25">
      <c r="A44" s="21" t="s">
        <v>28</v>
      </c>
      <c r="B44" s="21" t="str">
        <f>"El Sandön"</f>
        <v>El Sandön</v>
      </c>
      <c r="C44" s="60">
        <v>-6000</v>
      </c>
      <c r="D44" s="38">
        <v>-6000</v>
      </c>
      <c r="E44" s="38">
        <v>-4145.04</v>
      </c>
      <c r="F44" s="38">
        <v>-4944.2299999999996</v>
      </c>
      <c r="G44" s="38">
        <v>-4696</v>
      </c>
      <c r="H44" s="38">
        <v>-5236.82</v>
      </c>
      <c r="I44" s="38">
        <v>-14941.87</v>
      </c>
      <c r="J44" s="38">
        <v>-31085.759999999998</v>
      </c>
      <c r="K44" s="38">
        <v>-28261.84</v>
      </c>
      <c r="L44" s="38"/>
      <c r="M44" s="38"/>
      <c r="N44" s="38"/>
    </row>
    <row r="45" spans="1:14" outlineLevel="1" x14ac:dyDescent="0.25">
      <c r="A45" s="21" t="str">
        <f>"4205"</f>
        <v>4205</v>
      </c>
      <c r="B45" s="21" t="str">
        <f>"Toalett Sandön"</f>
        <v>Toalett Sandön</v>
      </c>
      <c r="C45" s="60">
        <v>0</v>
      </c>
      <c r="D45" s="38">
        <v>0</v>
      </c>
      <c r="E45" s="38">
        <v>0</v>
      </c>
      <c r="F45" s="38"/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-1551</v>
      </c>
      <c r="M45" s="38">
        <v>-780</v>
      </c>
      <c r="N45" s="38">
        <v>-710</v>
      </c>
    </row>
    <row r="46" spans="1:14" outlineLevel="1" x14ac:dyDescent="0.25">
      <c r="A46" s="21" t="str">
        <f>"4206"</f>
        <v>4206</v>
      </c>
      <c r="B46" s="21" t="str">
        <f>"Övriga kostnader Sandön"</f>
        <v>Övriga kostnader Sandön</v>
      </c>
      <c r="C46" s="60">
        <v>-20000</v>
      </c>
      <c r="D46" s="38">
        <v>-30000</v>
      </c>
      <c r="E46" s="38">
        <v>-13464</v>
      </c>
      <c r="F46" s="38">
        <v>-2931.85</v>
      </c>
      <c r="G46" s="38">
        <v>-31866</v>
      </c>
      <c r="H46" s="38">
        <v>-17115.310000000001</v>
      </c>
      <c r="I46" s="38">
        <v>-11706.7</v>
      </c>
      <c r="J46" s="38">
        <v>-38626.769999999997</v>
      </c>
      <c r="K46" s="38">
        <v>-12379</v>
      </c>
      <c r="L46" s="38">
        <v>-12278</v>
      </c>
      <c r="M46" s="38">
        <v>-3743.39</v>
      </c>
      <c r="N46" s="38">
        <v>-2771</v>
      </c>
    </row>
    <row r="47" spans="1:14" outlineLevel="1" x14ac:dyDescent="0.25">
      <c r="A47" s="1" t="str">
        <f>"4210"</f>
        <v>4210</v>
      </c>
      <c r="B47" s="1" t="str">
        <f>"Styrpulpetbåt"</f>
        <v>Styrpulpetbåt</v>
      </c>
      <c r="C47" s="5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-2336</v>
      </c>
    </row>
    <row r="48" spans="1:14" outlineLevel="1" x14ac:dyDescent="0.25">
      <c r="A48" s="1" t="str">
        <f>"4351"</f>
        <v>4351</v>
      </c>
      <c r="B48" s="1" t="str">
        <f>"Underhåll Båtar"</f>
        <v>Underhåll Båtar</v>
      </c>
      <c r="C48" s="5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-683</v>
      </c>
    </row>
    <row r="49" spans="1:14" outlineLevel="1" x14ac:dyDescent="0.25">
      <c r="A49" s="24" t="str">
        <f>"4413"</f>
        <v>4413</v>
      </c>
      <c r="B49" s="24" t="str">
        <f>"Dukning, Mat  Festkommitèn"</f>
        <v>Dukning, Mat  Festkommitèn</v>
      </c>
      <c r="C49" s="58">
        <v>-1000</v>
      </c>
      <c r="D49" s="34">
        <v>-1000</v>
      </c>
      <c r="E49" s="34">
        <v>0</v>
      </c>
      <c r="F49" s="34">
        <v>0</v>
      </c>
      <c r="G49" s="34">
        <v>0</v>
      </c>
      <c r="H49" s="34">
        <v>0</v>
      </c>
      <c r="I49" s="34">
        <v>-10</v>
      </c>
      <c r="J49" s="34">
        <v>0</v>
      </c>
      <c r="K49" s="34">
        <v>-524</v>
      </c>
      <c r="L49" s="34">
        <v>-2100</v>
      </c>
      <c r="M49" s="34">
        <v>-1644</v>
      </c>
      <c r="N49" s="34">
        <v>-514</v>
      </c>
    </row>
    <row r="50" spans="1:14" outlineLevel="1" x14ac:dyDescent="0.25">
      <c r="A50" s="24" t="str">
        <f>"4416"</f>
        <v>4416</v>
      </c>
      <c r="B50" s="24" t="str">
        <f>"Mötesverksamhet"</f>
        <v>Mötesverksamhet</v>
      </c>
      <c r="C50" s="58">
        <v>-4000</v>
      </c>
      <c r="D50" s="34">
        <v>-3000</v>
      </c>
      <c r="E50" s="34">
        <v>-2215.6</v>
      </c>
      <c r="F50" s="34">
        <v>-2917</v>
      </c>
      <c r="G50" s="34">
        <v>-119</v>
      </c>
      <c r="H50" s="34">
        <v>-1491</v>
      </c>
      <c r="I50" s="34">
        <v>-5471.74</v>
      </c>
      <c r="J50" s="34">
        <v>3211</v>
      </c>
      <c r="K50" s="34">
        <v>-8531</v>
      </c>
      <c r="L50" s="34">
        <v>-6153.4</v>
      </c>
      <c r="M50" s="34">
        <v>-4595.66</v>
      </c>
      <c r="N50" s="34">
        <v>-3931</v>
      </c>
    </row>
    <row r="51" spans="1:14" outlineLevel="1" x14ac:dyDescent="0.25">
      <c r="A51" s="24" t="str">
        <f>"4499"</f>
        <v>4499</v>
      </c>
      <c r="B51" s="24" t="str">
        <f>"Övriga kostnader"</f>
        <v>Övriga kostnader</v>
      </c>
      <c r="C51" s="58">
        <v>-5000</v>
      </c>
      <c r="D51" s="34">
        <v>-3000</v>
      </c>
      <c r="E51" s="34">
        <v>-13793.8</v>
      </c>
      <c r="F51" s="34">
        <v>-575</v>
      </c>
      <c r="G51" s="34">
        <v>-10604</v>
      </c>
      <c r="H51" s="34">
        <v>-600</v>
      </c>
      <c r="I51" s="34">
        <v>0</v>
      </c>
      <c r="J51" s="34">
        <v>0</v>
      </c>
      <c r="K51" s="34">
        <v>-561</v>
      </c>
      <c r="L51" s="34">
        <v>0</v>
      </c>
      <c r="M51" s="34">
        <v>-7337</v>
      </c>
      <c r="N51" s="34">
        <v>-1270</v>
      </c>
    </row>
    <row r="52" spans="1:14" outlineLevel="1" x14ac:dyDescent="0.25">
      <c r="A52" s="24" t="str">
        <f>"6312"</f>
        <v>6312</v>
      </c>
      <c r="B52" s="24" t="str">
        <f>"Försäkringar Säffle"</f>
        <v>Försäkringar Säffle</v>
      </c>
      <c r="C52" s="58">
        <v>-1700</v>
      </c>
      <c r="D52" s="34">
        <v>-1700</v>
      </c>
      <c r="E52" s="34">
        <v>0</v>
      </c>
      <c r="F52" s="34">
        <v>0</v>
      </c>
      <c r="G52" s="34">
        <v>-1603</v>
      </c>
      <c r="H52" s="34">
        <v>-1620</v>
      </c>
      <c r="I52" s="34">
        <v>-350</v>
      </c>
      <c r="J52" s="34">
        <v>-985</v>
      </c>
      <c r="K52" s="34">
        <v>-10788</v>
      </c>
      <c r="L52" s="34">
        <v>1099</v>
      </c>
      <c r="M52" s="34">
        <v>-2420</v>
      </c>
      <c r="N52" s="34">
        <v>0</v>
      </c>
    </row>
    <row r="53" spans="1:14" outlineLevel="1" x14ac:dyDescent="0.25">
      <c r="A53" s="24" t="str">
        <f>"6313"</f>
        <v>6313</v>
      </c>
      <c r="B53" s="24" t="s">
        <v>60</v>
      </c>
      <c r="C53" s="58">
        <v>-3500</v>
      </c>
      <c r="D53" s="34">
        <v>-2500</v>
      </c>
      <c r="E53" s="34">
        <v>-3284</v>
      </c>
      <c r="F53" s="34">
        <v>-3377</v>
      </c>
      <c r="G53" s="34">
        <v>-2331</v>
      </c>
      <c r="H53" s="34">
        <v>-1620</v>
      </c>
      <c r="I53" s="34">
        <v>-2386</v>
      </c>
      <c r="J53" s="34">
        <v>-2989</v>
      </c>
      <c r="K53" s="34">
        <v>-2955</v>
      </c>
      <c r="L53" s="34">
        <v>-2609</v>
      </c>
      <c r="M53" s="34">
        <v>0</v>
      </c>
      <c r="N53" s="34">
        <v>0</v>
      </c>
    </row>
    <row r="54" spans="1:14" outlineLevel="1" x14ac:dyDescent="0.25">
      <c r="A54" s="24" t="str">
        <f>"6993"</f>
        <v>6993</v>
      </c>
      <c r="B54" s="24" t="s">
        <v>61</v>
      </c>
      <c r="C54" s="58">
        <v>-2000</v>
      </c>
      <c r="D54" s="34">
        <v>-3000</v>
      </c>
      <c r="E54" s="34">
        <v>0</v>
      </c>
      <c r="F54" s="34">
        <v>-5000</v>
      </c>
      <c r="G54" s="34">
        <v>0</v>
      </c>
      <c r="H54" s="34">
        <v>-2150</v>
      </c>
      <c r="I54" s="34">
        <v>-1000</v>
      </c>
      <c r="J54" s="34">
        <v>0</v>
      </c>
      <c r="K54" s="34">
        <v>-190</v>
      </c>
      <c r="L54" s="34">
        <v>-3000</v>
      </c>
      <c r="M54" s="34">
        <v>-1700</v>
      </c>
      <c r="N54" s="46">
        <v>0</v>
      </c>
    </row>
    <row r="55" spans="1:14" outlineLevel="1" x14ac:dyDescent="0.25">
      <c r="A55" s="2"/>
      <c r="B55" s="2"/>
      <c r="C55" s="39">
        <f>(SUM(C18:C54))*1</f>
        <v>-207673</v>
      </c>
      <c r="D55" s="39">
        <f>(SUM(D18:D54))*1</f>
        <v>-249423</v>
      </c>
      <c r="E55" s="39">
        <f>SUM(E18:E54)</f>
        <v>-182311.79</v>
      </c>
      <c r="F55" s="39">
        <f>SUM(F18:F54)</f>
        <v>-128498.47</v>
      </c>
      <c r="G55" s="39">
        <f>SUM(G18:G54)</f>
        <v>-144490.81</v>
      </c>
      <c r="H55" s="39">
        <f>SUM(H18:H54)</f>
        <v>-130981.9</v>
      </c>
      <c r="I55" s="39">
        <v>-210242.59</v>
      </c>
      <c r="J55" s="39">
        <v>-188627.61</v>
      </c>
      <c r="K55" s="39">
        <f>SUM(K18:K54)</f>
        <v>-146852.84</v>
      </c>
      <c r="L55" s="39">
        <f>SUM(L18:L54)</f>
        <v>-182620.59</v>
      </c>
      <c r="M55" s="39">
        <f t="shared" ref="M55:N55" si="1">SUM(M18:M54)</f>
        <v>-120621.73000000001</v>
      </c>
      <c r="N55" s="39">
        <f t="shared" si="1"/>
        <v>-108037.32</v>
      </c>
    </row>
    <row r="56" spans="1:14" outlineLevel="1" x14ac:dyDescent="0.25">
      <c r="C56" s="48">
        <v>0</v>
      </c>
      <c r="D56" s="7">
        <v>0</v>
      </c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outlineLevel="1" x14ac:dyDescent="0.25">
      <c r="B57" s="4" t="str">
        <f>"Bruttovinst"</f>
        <v>Bruttovinst</v>
      </c>
      <c r="C57" s="40">
        <f>(SUM(C15+C55))*1</f>
        <v>3127</v>
      </c>
      <c r="D57" s="40">
        <f>(SUM(D15+D55))*1</f>
        <v>-42323</v>
      </c>
      <c r="E57" s="40">
        <f>SUM(E15+E55)</f>
        <v>20251.209999999992</v>
      </c>
      <c r="F57" s="40">
        <f>SUM(F15+F55)</f>
        <v>80152.53</v>
      </c>
      <c r="G57" s="40">
        <f>SUM(G15+G55)</f>
        <v>47479.23000000001</v>
      </c>
      <c r="H57" s="40">
        <f>SUM(H15+H55)</f>
        <v>56750.610000000015</v>
      </c>
      <c r="I57" s="40">
        <f>SUM(I15+I55)</f>
        <v>-26999.589999999997</v>
      </c>
      <c r="J57" s="40">
        <v>34285.390000000014</v>
      </c>
      <c r="K57" s="40">
        <f>SUM(K15+K55)</f>
        <v>46644.160000000003</v>
      </c>
      <c r="L57" s="40">
        <f>SUM(L15+L55)</f>
        <v>-16716.589999999997</v>
      </c>
      <c r="M57" s="40">
        <f t="shared" ref="M57:N57" si="2">SUM(M15+M55)</f>
        <v>73248.26999999999</v>
      </c>
      <c r="N57" s="40">
        <f t="shared" si="2"/>
        <v>86257.68</v>
      </c>
    </row>
    <row r="58" spans="1:14" outlineLevel="1" x14ac:dyDescent="0.25">
      <c r="C58" s="5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outlineLevel="1" x14ac:dyDescent="0.25">
      <c r="A59" s="1" t="str">
        <f>"7920"</f>
        <v>7920</v>
      </c>
      <c r="B59" s="1" t="str">
        <f>"Avskrivningar inventarier"</f>
        <v>Avskrivningar inventarier</v>
      </c>
      <c r="C59" s="56"/>
      <c r="D59" s="26">
        <v>0</v>
      </c>
      <c r="E59" s="26">
        <v>-35482</v>
      </c>
      <c r="F59" s="26">
        <v>0</v>
      </c>
      <c r="G59" s="26">
        <v>-5945</v>
      </c>
      <c r="H59" s="26">
        <v>-13960</v>
      </c>
      <c r="I59" s="26">
        <v>-19342</v>
      </c>
      <c r="J59" s="26">
        <v>-19342</v>
      </c>
      <c r="K59" s="26">
        <v>-19342</v>
      </c>
      <c r="L59" s="26">
        <v>-14423</v>
      </c>
      <c r="M59" s="26">
        <v>-1026</v>
      </c>
      <c r="N59" s="26">
        <v>-1025</v>
      </c>
    </row>
    <row r="60" spans="1:14" outlineLevel="1" x14ac:dyDescent="0.25">
      <c r="A60" s="1" t="str">
        <f>"7922"</f>
        <v>7922</v>
      </c>
      <c r="B60" s="1" t="s">
        <v>38</v>
      </c>
      <c r="C60" s="56">
        <v>-22435</v>
      </c>
      <c r="D60" s="26">
        <v>-22435</v>
      </c>
      <c r="E60" s="26">
        <v>-22435</v>
      </c>
      <c r="F60" s="26">
        <v>-22435</v>
      </c>
      <c r="G60" s="26">
        <v>-22435</v>
      </c>
      <c r="H60" s="26">
        <v>-22435</v>
      </c>
      <c r="I60" s="26">
        <v>-22435</v>
      </c>
      <c r="J60" s="26">
        <v>-12164</v>
      </c>
      <c r="K60" s="26">
        <v>-12164</v>
      </c>
      <c r="L60" s="26">
        <v>-1539</v>
      </c>
      <c r="M60" s="26">
        <v>-1539</v>
      </c>
      <c r="N60" s="26">
        <v>-1539</v>
      </c>
    </row>
    <row r="61" spans="1:14" outlineLevel="1" x14ac:dyDescent="0.25">
      <c r="A61" s="1" t="str">
        <f>"7924"</f>
        <v>7924</v>
      </c>
      <c r="B61" s="1" t="str">
        <f>"Avskrivningar arbetsmaskiner"</f>
        <v>Avskrivningar arbetsmaskiner</v>
      </c>
      <c r="C61" s="57">
        <v>0</v>
      </c>
      <c r="D61" s="26">
        <v>0</v>
      </c>
      <c r="E61" s="26"/>
      <c r="F61" s="26"/>
      <c r="G61" s="26">
        <v>0</v>
      </c>
      <c r="H61" s="26"/>
      <c r="I61" s="26"/>
      <c r="J61" s="26"/>
      <c r="K61" s="26"/>
      <c r="L61" s="26">
        <v>0</v>
      </c>
      <c r="M61" s="26">
        <v>-13397</v>
      </c>
      <c r="N61" s="27">
        <v>0</v>
      </c>
    </row>
    <row r="62" spans="1:14" outlineLevel="1" x14ac:dyDescent="0.25">
      <c r="A62" s="2"/>
      <c r="B62" s="32" t="s">
        <v>39</v>
      </c>
      <c r="C62" s="40">
        <f>(SUM(C59:C61))*1</f>
        <v>-22435</v>
      </c>
      <c r="D62" s="41">
        <f>(SUM(D59:D61))*1</f>
        <v>-22435</v>
      </c>
      <c r="E62" s="41">
        <f>SUM(E59:E61)</f>
        <v>-57917</v>
      </c>
      <c r="F62" s="41">
        <f>SUM(F59:F61)</f>
        <v>-22435</v>
      </c>
      <c r="G62" s="41">
        <f>SUM(G59:G61)</f>
        <v>-28380</v>
      </c>
      <c r="H62" s="41">
        <f>SUM(H59:H61)</f>
        <v>-36395</v>
      </c>
      <c r="I62" s="41">
        <f>SUM(I59:I61)</f>
        <v>-41777</v>
      </c>
      <c r="J62" s="41">
        <v>-31506</v>
      </c>
      <c r="K62" s="41">
        <f>SUM(K59:K61)</f>
        <v>-31506</v>
      </c>
      <c r="L62" s="41">
        <f>SUM(L59:L61)</f>
        <v>-15962</v>
      </c>
      <c r="M62" s="41">
        <f t="shared" ref="M62:N62" si="3">SUM(M59:M61)</f>
        <v>-15962</v>
      </c>
      <c r="N62" s="40">
        <f t="shared" si="3"/>
        <v>-2564</v>
      </c>
    </row>
    <row r="63" spans="1:14" outlineLevel="1" x14ac:dyDescent="0.25">
      <c r="C63" s="26">
        <v>0</v>
      </c>
      <c r="D63" s="26">
        <v>0</v>
      </c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outlineLevel="1" x14ac:dyDescent="0.25">
      <c r="B64" s="12" t="s">
        <v>5</v>
      </c>
      <c r="C64" s="42">
        <f>(SUM(C57+C62))*1</f>
        <v>-19308</v>
      </c>
      <c r="D64" s="42">
        <f>(SUM(D57+D62))*1</f>
        <v>-64758</v>
      </c>
      <c r="E64" s="42">
        <f>SUM(E57+E62)</f>
        <v>-37665.790000000008</v>
      </c>
      <c r="F64" s="42">
        <f>SUM(F57+F62)</f>
        <v>57717.53</v>
      </c>
      <c r="G64" s="42">
        <f>SUM(G57+G62)</f>
        <v>19099.23000000001</v>
      </c>
      <c r="H64" s="42">
        <f>SUM(H57+H62)</f>
        <v>20355.610000000015</v>
      </c>
      <c r="I64" s="42">
        <f>SUM(I57+I62)</f>
        <v>-68776.59</v>
      </c>
      <c r="J64" s="42">
        <v>2779.390000000014</v>
      </c>
      <c r="K64" s="42">
        <f>SUM(K57+K62)</f>
        <v>15138.160000000003</v>
      </c>
      <c r="L64" s="42">
        <f>SUM(L57+L62)</f>
        <v>-32678.589999999997</v>
      </c>
      <c r="M64" s="42">
        <f t="shared" ref="M64:N64" si="4">SUM(M57+M62)</f>
        <v>57286.26999999999</v>
      </c>
      <c r="N64" s="42">
        <f t="shared" si="4"/>
        <v>83693.679999999993</v>
      </c>
    </row>
    <row r="65" spans="1:14" outlineLevel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spans="1:14" outlineLevel="1" x14ac:dyDescent="0.25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outlineLevel="1" x14ac:dyDescent="0.25">
      <c r="A67" s="1" t="str">
        <f>"8120"</f>
        <v>8120</v>
      </c>
      <c r="B67" s="1" t="str">
        <f>"Räntekostnader"</f>
        <v>Räntekostnader</v>
      </c>
      <c r="C67" s="26">
        <v>0</v>
      </c>
      <c r="D67" s="26">
        <v>0</v>
      </c>
      <c r="E67" s="26">
        <v>-55</v>
      </c>
      <c r="F67" s="26">
        <v>-58</v>
      </c>
      <c r="G67" s="26">
        <v>0</v>
      </c>
      <c r="H67" s="26">
        <v>-91</v>
      </c>
      <c r="I67" s="26">
        <v>0</v>
      </c>
      <c r="J67" s="26">
        <v>-40.5</v>
      </c>
      <c r="K67" s="26">
        <v>-95</v>
      </c>
      <c r="L67" s="26">
        <v>-43</v>
      </c>
      <c r="M67" s="26">
        <v>-1</v>
      </c>
      <c r="N67" s="26">
        <v>-93</v>
      </c>
    </row>
    <row r="68" spans="1:14" outlineLevel="1" x14ac:dyDescent="0.25">
      <c r="A68" s="1" t="str">
        <f>"8170"</f>
        <v>8170</v>
      </c>
      <c r="B68" s="1" t="str">
        <f>"Bankavgifter"</f>
        <v>Bankavgifter</v>
      </c>
      <c r="C68" s="26">
        <v>-2000</v>
      </c>
      <c r="D68" s="26">
        <v>-2000</v>
      </c>
      <c r="E68" s="26">
        <v>-1899</v>
      </c>
      <c r="F68" s="26">
        <v>-210</v>
      </c>
      <c r="G68" s="26">
        <v>-657</v>
      </c>
      <c r="H68" s="26">
        <v>-24</v>
      </c>
      <c r="I68" s="26">
        <v>-969</v>
      </c>
      <c r="J68" s="26">
        <v>-1038</v>
      </c>
      <c r="K68" s="26">
        <v>-1008</v>
      </c>
      <c r="L68" s="26">
        <v>-954.5</v>
      </c>
      <c r="M68" s="26">
        <v>-787</v>
      </c>
      <c r="N68" s="26">
        <v>-696.5</v>
      </c>
    </row>
    <row r="69" spans="1:14" outlineLevel="1" x14ac:dyDescent="0.25">
      <c r="A69" s="1" t="str">
        <f>"8300"</f>
        <v>8300</v>
      </c>
      <c r="B69" s="1" t="str">
        <f>"Ränteintäkter"</f>
        <v>Ränteintäkter</v>
      </c>
      <c r="C69" s="26">
        <v>1000</v>
      </c>
      <c r="D69" s="26">
        <v>70</v>
      </c>
      <c r="E69" s="26">
        <v>1564.46</v>
      </c>
      <c r="F69" s="26">
        <v>67.06</v>
      </c>
      <c r="G69" s="26">
        <v>0</v>
      </c>
      <c r="H69" s="26">
        <v>4</v>
      </c>
      <c r="I69" s="26">
        <v>50</v>
      </c>
      <c r="J69" s="26">
        <v>0</v>
      </c>
      <c r="K69" s="26">
        <v>0</v>
      </c>
      <c r="L69" s="26">
        <v>0</v>
      </c>
      <c r="M69" s="26">
        <v>44.81</v>
      </c>
      <c r="N69" s="27">
        <v>541.44000000000005</v>
      </c>
    </row>
    <row r="70" spans="1:14" outlineLevel="1" x14ac:dyDescent="0.25">
      <c r="A70" s="2"/>
      <c r="B70" s="2"/>
      <c r="C70" s="43">
        <f>(SUM(C67:C69))*1</f>
        <v>-1000</v>
      </c>
      <c r="D70" s="43">
        <f>(SUM(D67:D69))*1</f>
        <v>-1930</v>
      </c>
      <c r="E70" s="43">
        <f>SUM(E67:E69)</f>
        <v>-389.53999999999996</v>
      </c>
      <c r="F70" s="43">
        <f>SUM(F67:F69)</f>
        <v>-200.94</v>
      </c>
      <c r="G70" s="43">
        <f>SUM(G67:G69)</f>
        <v>-657</v>
      </c>
      <c r="H70" s="43">
        <f>SUM(H67:H69)</f>
        <v>-111</v>
      </c>
      <c r="I70" s="43">
        <f>SUM(I67:I69)</f>
        <v>-919</v>
      </c>
      <c r="J70" s="43">
        <v>-1078.5</v>
      </c>
      <c r="K70" s="43">
        <f>SUM(K67:K69)</f>
        <v>-1103</v>
      </c>
      <c r="L70" s="43">
        <f>SUM(L67:L69)</f>
        <v>-997.5</v>
      </c>
      <c r="M70" s="43">
        <f t="shared" ref="M70:N70" si="5">SUM(M67:M69)</f>
        <v>-743.19</v>
      </c>
      <c r="N70" s="26">
        <f t="shared" si="5"/>
        <v>-248.05999999999995</v>
      </c>
    </row>
    <row r="71" spans="1:14" outlineLevel="1" x14ac:dyDescent="0.25">
      <c r="C71" s="26">
        <v>0</v>
      </c>
      <c r="D71" s="26">
        <v>0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spans="1:14" ht="15.75" outlineLevel="1" x14ac:dyDescent="0.25">
      <c r="B72" s="13" t="s">
        <v>10</v>
      </c>
      <c r="C72" s="44">
        <f>(SUM(C15+C55+C62+C70))*1</f>
        <v>-20308</v>
      </c>
      <c r="D72" s="44">
        <f>(SUM(D15+D55+D62+D70))*1</f>
        <v>-66688</v>
      </c>
      <c r="E72" s="44">
        <f>SUM(E15+E55+E62+E70)</f>
        <v>-38055.330000000009</v>
      </c>
      <c r="F72" s="44">
        <f>SUM(F15+F55+F62+F70)</f>
        <v>57516.59</v>
      </c>
      <c r="G72" s="44">
        <f>SUM(G15+G55+G62+G70)</f>
        <v>18442.23000000001</v>
      </c>
      <c r="H72" s="44">
        <f>SUM(H15+H55+H62+H70)</f>
        <v>20244.610000000015</v>
      </c>
      <c r="I72" s="44">
        <f>SUM(I15+I55+I62+I70)</f>
        <v>-69695.59</v>
      </c>
      <c r="J72" s="44">
        <v>1700.890000000014</v>
      </c>
      <c r="K72" s="44">
        <f>SUM(K15+K55+K62+K70)</f>
        <v>14035.160000000003</v>
      </c>
      <c r="L72" s="44">
        <f>SUM(L15+L55+L62+L70)</f>
        <v>-33676.089999999997</v>
      </c>
      <c r="M72" s="44">
        <f t="shared" ref="M72:N72" si="6">SUM(M15+M55+M62+M70)</f>
        <v>56543.079999999987</v>
      </c>
      <c r="N72" s="44">
        <f t="shared" si="6"/>
        <v>83445.62</v>
      </c>
    </row>
    <row r="73" spans="1:14" outlineLevel="1" x14ac:dyDescent="0.25">
      <c r="L73" s="3"/>
      <c r="M73" s="3"/>
      <c r="N73" s="29"/>
    </row>
    <row r="74" spans="1:14" ht="15.75" thickBot="1" x14ac:dyDescent="0.3"/>
    <row r="75" spans="1:14" ht="30.75" thickBot="1" x14ac:dyDescent="0.3">
      <c r="B75" s="6"/>
      <c r="C75" s="61" t="s">
        <v>63</v>
      </c>
      <c r="D75" s="45" t="s">
        <v>52</v>
      </c>
      <c r="E75" s="30" t="s">
        <v>56</v>
      </c>
      <c r="F75" s="30" t="s">
        <v>50</v>
      </c>
      <c r="G75" s="15" t="s">
        <v>48</v>
      </c>
      <c r="H75" s="15" t="s">
        <v>44</v>
      </c>
      <c r="I75" s="15" t="s">
        <v>37</v>
      </c>
      <c r="J75" s="15" t="s">
        <v>30</v>
      </c>
      <c r="K75" s="15" t="s">
        <v>23</v>
      </c>
      <c r="L75" s="15" t="s">
        <v>11</v>
      </c>
      <c r="M75" s="15" t="s">
        <v>12</v>
      </c>
      <c r="N75" s="16" t="s">
        <v>13</v>
      </c>
    </row>
    <row r="76" spans="1:14" x14ac:dyDescent="0.25">
      <c r="B76" s="14" t="s">
        <v>16</v>
      </c>
      <c r="C76" s="14">
        <f t="shared" ref="C76:I76" si="7">SUM(C7:C8)</f>
        <v>50000</v>
      </c>
      <c r="D76" s="7">
        <f t="shared" si="7"/>
        <v>49000</v>
      </c>
      <c r="E76" s="7">
        <f t="shared" ref="E76" si="8">SUM(E7:E8)</f>
        <v>48450</v>
      </c>
      <c r="F76" s="7">
        <f t="shared" si="7"/>
        <v>50200</v>
      </c>
      <c r="G76" s="7">
        <f t="shared" si="7"/>
        <v>45450</v>
      </c>
      <c r="H76" s="7">
        <f t="shared" si="7"/>
        <v>46050</v>
      </c>
      <c r="I76" s="7">
        <f t="shared" si="7"/>
        <v>40100</v>
      </c>
      <c r="J76" s="7">
        <v>38500</v>
      </c>
      <c r="K76" s="7">
        <f t="shared" ref="K76:N76" si="9">SUM(K7:K8)</f>
        <v>40400</v>
      </c>
      <c r="L76" s="7">
        <f t="shared" si="9"/>
        <v>40550</v>
      </c>
      <c r="M76" s="7">
        <f t="shared" si="9"/>
        <v>37300</v>
      </c>
      <c r="N76" s="8">
        <f t="shared" si="9"/>
        <v>44350</v>
      </c>
    </row>
    <row r="77" spans="1:14" x14ac:dyDescent="0.25">
      <c r="B77" s="14" t="s">
        <v>17</v>
      </c>
      <c r="C77" s="14">
        <f t="shared" ref="C77" si="10">SUM(C10:C11)</f>
        <v>94000</v>
      </c>
      <c r="D77" s="7">
        <f t="shared" ref="D77" si="11">SUM(D10:D11)</f>
        <v>96000</v>
      </c>
      <c r="E77" s="7">
        <f t="shared" ref="E77:F77" si="12">SUM(E10:E11)</f>
        <v>85600</v>
      </c>
      <c r="F77" s="7">
        <f t="shared" si="12"/>
        <v>95600</v>
      </c>
      <c r="G77" s="7">
        <f t="shared" ref="G77:N77" si="13">SUM(G10:G11)</f>
        <v>96800</v>
      </c>
      <c r="H77" s="7">
        <f t="shared" ref="H77:I77" si="14">SUM(H10:H11)</f>
        <v>91200</v>
      </c>
      <c r="I77" s="7">
        <f t="shared" si="14"/>
        <v>89200</v>
      </c>
      <c r="J77" s="7">
        <v>93600</v>
      </c>
      <c r="K77" s="7">
        <f t="shared" si="13"/>
        <v>95200</v>
      </c>
      <c r="L77" s="7">
        <f t="shared" si="13"/>
        <v>81000</v>
      </c>
      <c r="M77" s="7">
        <f t="shared" si="13"/>
        <v>74200</v>
      </c>
      <c r="N77" s="8">
        <f t="shared" si="13"/>
        <v>95050</v>
      </c>
    </row>
    <row r="78" spans="1:14" x14ac:dyDescent="0.25">
      <c r="B78" s="14" t="s">
        <v>18</v>
      </c>
      <c r="C78" s="14">
        <f t="shared" ref="C78:I78" si="15">SUM(C12:C14)</f>
        <v>48100</v>
      </c>
      <c r="D78" s="7">
        <f t="shared" si="15"/>
        <v>41100</v>
      </c>
      <c r="E78" s="7">
        <f t="shared" ref="E78" si="16">SUM(E12:E14)</f>
        <v>47850</v>
      </c>
      <c r="F78" s="7">
        <f t="shared" si="15"/>
        <v>44400</v>
      </c>
      <c r="G78" s="7">
        <f t="shared" si="15"/>
        <v>37500</v>
      </c>
      <c r="H78" s="7">
        <f t="shared" si="15"/>
        <v>30625</v>
      </c>
      <c r="I78" s="7">
        <f t="shared" si="15"/>
        <v>41475</v>
      </c>
      <c r="J78" s="7">
        <v>47850</v>
      </c>
      <c r="K78" s="7">
        <f>SUM(K12:K14)</f>
        <v>52300</v>
      </c>
      <c r="L78" s="7">
        <f>SUM(L12:L13)</f>
        <v>43350</v>
      </c>
      <c r="M78" s="7">
        <f>SUM(M12:M13)</f>
        <v>37200</v>
      </c>
      <c r="N78" s="8">
        <f>SUM(N12:N13)</f>
        <v>53650</v>
      </c>
    </row>
    <row r="79" spans="1:14" x14ac:dyDescent="0.25">
      <c r="B79" s="14" t="s">
        <v>19</v>
      </c>
      <c r="C79" s="14">
        <f t="shared" ref="C79:I79" si="17">SUM(C3+C4+C6+C9)</f>
        <v>18700</v>
      </c>
      <c r="D79" s="7">
        <f t="shared" si="17"/>
        <v>21000</v>
      </c>
      <c r="E79" s="7">
        <f t="shared" ref="E79" si="18">SUM(E3+E4+E6+E9)</f>
        <v>14164</v>
      </c>
      <c r="F79" s="7">
        <f t="shared" si="17"/>
        <v>18451</v>
      </c>
      <c r="G79" s="7">
        <f t="shared" si="17"/>
        <v>12220.04</v>
      </c>
      <c r="H79" s="7">
        <f t="shared" si="17"/>
        <v>19857.509999999998</v>
      </c>
      <c r="I79" s="7">
        <f t="shared" si="17"/>
        <v>12468</v>
      </c>
      <c r="J79" s="7">
        <v>42963</v>
      </c>
      <c r="K79" s="7">
        <f>SUM(K3+K4+K9)</f>
        <v>5597</v>
      </c>
      <c r="L79" s="7">
        <f>SUM(L3+L9)</f>
        <v>1004</v>
      </c>
      <c r="M79" s="7">
        <f>SUM(M3+M9)</f>
        <v>45170</v>
      </c>
      <c r="N79" s="8">
        <f>SUM(N3+N9)</f>
        <v>1245</v>
      </c>
    </row>
    <row r="80" spans="1:14" x14ac:dyDescent="0.25">
      <c r="B80" s="17" t="s">
        <v>4</v>
      </c>
      <c r="C80" s="17">
        <f t="shared" ref="C80" si="19">SUM(C76:C79)</f>
        <v>210800</v>
      </c>
      <c r="D80" s="11">
        <f t="shared" ref="D80:G80" si="20">SUM(D76:D79)</f>
        <v>207100</v>
      </c>
      <c r="E80" s="11">
        <f t="shared" ref="E80:F80" si="21">SUM(E76:E79)</f>
        <v>196064</v>
      </c>
      <c r="F80" s="11">
        <f t="shared" si="21"/>
        <v>208651</v>
      </c>
      <c r="G80" s="11">
        <f t="shared" si="20"/>
        <v>191970.04</v>
      </c>
      <c r="H80" s="11">
        <f t="shared" ref="H80:I80" si="22">SUM(H76:H79)</f>
        <v>187732.51</v>
      </c>
      <c r="I80" s="11">
        <f t="shared" si="22"/>
        <v>183243</v>
      </c>
      <c r="J80" s="11">
        <v>222913</v>
      </c>
      <c r="K80" s="11">
        <f t="shared" ref="K80" si="23">SUM(K76:K79)</f>
        <v>193497</v>
      </c>
      <c r="L80" s="11">
        <f>SUM(L76:L79)</f>
        <v>165904</v>
      </c>
      <c r="M80" s="11">
        <f t="shared" ref="M80:N80" si="24">SUM(M76:M79)</f>
        <v>193870</v>
      </c>
      <c r="N80" s="18">
        <f t="shared" si="24"/>
        <v>194295</v>
      </c>
    </row>
    <row r="81" spans="2:14" x14ac:dyDescent="0.25">
      <c r="B81" s="14"/>
      <c r="C81" s="14"/>
      <c r="D81" s="7"/>
      <c r="E81" s="7"/>
      <c r="F81" s="7"/>
      <c r="G81" s="7"/>
      <c r="H81" s="7"/>
      <c r="I81" s="7"/>
      <c r="J81" s="7"/>
      <c r="K81" s="7"/>
      <c r="L81" s="7"/>
      <c r="M81" s="7"/>
      <c r="N81" s="8"/>
    </row>
    <row r="82" spans="2:14" x14ac:dyDescent="0.25">
      <c r="B82" s="14" t="s">
        <v>6</v>
      </c>
      <c r="C82" s="14">
        <f t="shared" ref="C82" si="25">SUM(C42+C43+C44+C45+C46+C53)</f>
        <v>-54500</v>
      </c>
      <c r="D82" s="7">
        <f t="shared" ref="D82:G82" si="26">SUM(D42+D43+D44+D45+D46+D53)</f>
        <v>-43500</v>
      </c>
      <c r="E82" s="7">
        <f t="shared" ref="E82:F82" si="27">SUM(E42+E43+E44+E45+E46+E53)</f>
        <v>-49237.240000000005</v>
      </c>
      <c r="F82" s="7">
        <f t="shared" si="27"/>
        <v>-16253.08</v>
      </c>
      <c r="G82" s="7">
        <f t="shared" si="26"/>
        <v>-47837</v>
      </c>
      <c r="H82" s="7">
        <f t="shared" ref="H82:I82" si="28">SUM(H42+H43+H44+H45+H46+H53)</f>
        <v>-33556.130000000005</v>
      </c>
      <c r="I82" s="7">
        <f t="shared" si="28"/>
        <v>-88326.569999999992</v>
      </c>
      <c r="J82" s="7">
        <v>-91395.53</v>
      </c>
      <c r="K82" s="7">
        <f t="shared" ref="K82:N82" si="29">SUM(K42+K43+K44+K45+K46+K53)</f>
        <v>-48595.839999999997</v>
      </c>
      <c r="L82" s="7">
        <f t="shared" si="29"/>
        <v>-56431</v>
      </c>
      <c r="M82" s="7">
        <f t="shared" si="29"/>
        <v>-6023.3899999999994</v>
      </c>
      <c r="N82" s="8">
        <f t="shared" si="29"/>
        <v>-3481</v>
      </c>
    </row>
    <row r="83" spans="2:14" x14ac:dyDescent="0.25">
      <c r="B83" s="14" t="s">
        <v>7</v>
      </c>
      <c r="C83" s="14">
        <f t="shared" ref="C83:H83" si="30">SUM(C26+C27+C28+C29+C30+C31+C32+C33+C35+C36+C37+C52)</f>
        <v>-89908</v>
      </c>
      <c r="D83" s="7">
        <f t="shared" si="30"/>
        <v>-147308</v>
      </c>
      <c r="E83" s="7">
        <f t="shared" si="30"/>
        <v>-87414.25</v>
      </c>
      <c r="F83" s="7">
        <f t="shared" si="30"/>
        <v>-74541.989999999991</v>
      </c>
      <c r="G83" s="7">
        <f t="shared" si="30"/>
        <v>-61956</v>
      </c>
      <c r="H83" s="7">
        <f t="shared" si="30"/>
        <v>-61352.65</v>
      </c>
      <c r="I83" s="7">
        <f>SUM(I26+I27+I28+I29+I30+I31+I33+I35+I36+I37+I52)</f>
        <v>-95191.049999999988</v>
      </c>
      <c r="J83" s="7">
        <v>-62862.229999999996</v>
      </c>
      <c r="K83" s="7">
        <f>SUM(K26+K27+K28+K29+K31+K33+K35+K36+K37+K52)</f>
        <v>-73638</v>
      </c>
      <c r="L83" s="7">
        <f t="shared" ref="L83:N83" si="31">SUM(L26+L27+L28+L29+L31+L33+L35+L36+L37+L52)</f>
        <v>-76796.47</v>
      </c>
      <c r="M83" s="7">
        <f t="shared" si="31"/>
        <v>-67127.950000000012</v>
      </c>
      <c r="N83" s="8">
        <f t="shared" si="31"/>
        <v>-61066.66</v>
      </c>
    </row>
    <row r="84" spans="2:14" x14ac:dyDescent="0.25">
      <c r="B84" s="14" t="s">
        <v>9</v>
      </c>
      <c r="C84" s="14">
        <f t="shared" ref="C84" si="32">SUM(C38+C39+C40)</f>
        <v>-15000</v>
      </c>
      <c r="D84" s="7">
        <f t="shared" ref="D84:G84" si="33">SUM(D38+D39+D40)</f>
        <v>-15000</v>
      </c>
      <c r="E84" s="7">
        <f t="shared" ref="E84:F84" si="34">SUM(E38+E39+E40)</f>
        <v>-4600.24</v>
      </c>
      <c r="F84" s="7">
        <f t="shared" si="34"/>
        <v>-5407.75</v>
      </c>
      <c r="G84" s="7">
        <f t="shared" si="33"/>
        <v>-4708.8099999999995</v>
      </c>
      <c r="H84" s="7">
        <f t="shared" ref="H84:I84" si="35">SUM(H38+H39+H40)</f>
        <v>-13182.39</v>
      </c>
      <c r="I84" s="7">
        <f t="shared" si="35"/>
        <v>-11714.73</v>
      </c>
      <c r="J84" s="7">
        <v>-21724.13</v>
      </c>
      <c r="K84" s="7">
        <f t="shared" ref="K84:N84" si="36">SUM(K38+K39+K40)</f>
        <v>-5612</v>
      </c>
      <c r="L84" s="7">
        <f t="shared" si="36"/>
        <v>-14395.720000000001</v>
      </c>
      <c r="M84" s="7">
        <f t="shared" si="36"/>
        <v>-7135.23</v>
      </c>
      <c r="N84" s="8">
        <f t="shared" si="36"/>
        <v>-3518.66</v>
      </c>
    </row>
    <row r="85" spans="2:14" x14ac:dyDescent="0.25">
      <c r="B85" s="14" t="s">
        <v>8</v>
      </c>
      <c r="C85" s="14">
        <f t="shared" ref="C85" si="37">SUM(C18+C19+C20+C21+C22+C23+C24+C25+C34+C41+C49+C50+C51+C54+C47+C48)</f>
        <v>-48265</v>
      </c>
      <c r="D85" s="7">
        <f t="shared" ref="D85" si="38">SUM(D18+D19+D20+D21+D22+D23+D24+D25+D34+D41+D49+D50+D51+D54+D47+D48)</f>
        <v>-43615</v>
      </c>
      <c r="E85" s="7">
        <f t="shared" ref="E85:F85" si="39">SUM(E18+E19+E20+E21+E22+E23+E24+E25+E34+E41+E49+E50+E51+E54+E47+E48)</f>
        <v>-41060.06</v>
      </c>
      <c r="F85" s="7">
        <f t="shared" si="39"/>
        <v>-32295.65</v>
      </c>
      <c r="G85" s="7">
        <f t="shared" ref="G85:H85" si="40">SUM(G18+G19+G20+G21+G22+G23+G24+G25+G34+G41+G49+G50+G51+G54+G47+G48)</f>
        <v>-29989</v>
      </c>
      <c r="H85" s="7">
        <f t="shared" si="40"/>
        <v>-22890.73</v>
      </c>
      <c r="I85" s="7">
        <f t="shared" ref="I85" si="41">SUM(I18+I19+I20+I21+I22+I23+I24+I25+I34+I41+I49+I50+I51+I54+I47+I48)</f>
        <v>-15010.24</v>
      </c>
      <c r="J85" s="7">
        <v>-12645.72</v>
      </c>
      <c r="K85" s="7">
        <f t="shared" ref="K85:L85" si="42">SUM(K18+K19+K20+K21+K22+K23+K24+K25+K34+K41+K49+K50+K51+K54+K47+K48)</f>
        <v>-19007</v>
      </c>
      <c r="L85" s="7">
        <f t="shared" si="42"/>
        <v>-34997.4</v>
      </c>
      <c r="M85" s="7">
        <f>SUM(M18+M19+M20+M21+M22+M23+M24+M25+M34+M41+M49+M50+M51+M54+M47+M48)</f>
        <v>-40335.160000000003</v>
      </c>
      <c r="N85" s="8">
        <f>SUM(N18+N19+N20+N21+N22+N23+N24+N25+N34+N41+N49+N50+N51+N54+N47+N48)</f>
        <v>-39971</v>
      </c>
    </row>
    <row r="86" spans="2:14" x14ac:dyDescent="0.25">
      <c r="B86" s="17" t="s">
        <v>14</v>
      </c>
      <c r="C86" s="17">
        <f t="shared" ref="C86" si="43">SUM(C82:C85)</f>
        <v>-207673</v>
      </c>
      <c r="D86" s="11">
        <f t="shared" ref="D86:G86" si="44">SUM(D82:D85)</f>
        <v>-249423</v>
      </c>
      <c r="E86" s="11">
        <f t="shared" ref="E86:F86" si="45">SUM(E82:E85)</f>
        <v>-182311.78999999998</v>
      </c>
      <c r="F86" s="11">
        <f t="shared" si="45"/>
        <v>-128498.47</v>
      </c>
      <c r="G86" s="11">
        <f t="shared" si="44"/>
        <v>-144490.81</v>
      </c>
      <c r="H86" s="11">
        <f t="shared" ref="H86:I86" si="46">SUM(H82:H85)</f>
        <v>-130981.9</v>
      </c>
      <c r="I86" s="11">
        <f t="shared" si="46"/>
        <v>-210242.59</v>
      </c>
      <c r="J86" s="11">
        <v>-188627.61000000002</v>
      </c>
      <c r="K86" s="11">
        <f t="shared" ref="K86" si="47">SUM(K82:K85)</f>
        <v>-146852.84</v>
      </c>
      <c r="L86" s="11">
        <f>SUM(L82:L85)</f>
        <v>-182620.59</v>
      </c>
      <c r="M86" s="11">
        <f t="shared" ref="M86:N86" si="48">SUM(M82:M85)</f>
        <v>-120621.73000000001</v>
      </c>
      <c r="N86" s="18">
        <f t="shared" si="48"/>
        <v>-108037.32</v>
      </c>
    </row>
    <row r="87" spans="2:14" x14ac:dyDescent="0.25">
      <c r="B87" s="14"/>
      <c r="C87" s="14"/>
      <c r="D87" s="7"/>
      <c r="E87" s="7"/>
      <c r="F87" s="7"/>
      <c r="G87" s="7"/>
      <c r="H87" s="7"/>
      <c r="I87" s="7"/>
      <c r="J87" s="7"/>
      <c r="K87" s="7"/>
      <c r="L87" s="7"/>
      <c r="M87" s="7"/>
      <c r="N87" s="8"/>
    </row>
    <row r="88" spans="2:14" x14ac:dyDescent="0.25">
      <c r="B88" s="14" t="s">
        <v>15</v>
      </c>
      <c r="C88" s="14">
        <f t="shared" ref="C88" si="49">C62</f>
        <v>-22435</v>
      </c>
      <c r="D88" s="7">
        <f t="shared" ref="D88:N88" si="50">D62</f>
        <v>-22435</v>
      </c>
      <c r="E88" s="7">
        <f t="shared" ref="E88:F88" si="51">E62</f>
        <v>-57917</v>
      </c>
      <c r="F88" s="7">
        <f t="shared" si="51"/>
        <v>-22435</v>
      </c>
      <c r="G88" s="7">
        <f t="shared" si="50"/>
        <v>-28380</v>
      </c>
      <c r="H88" s="7">
        <f t="shared" ref="H88:I88" si="52">H62</f>
        <v>-36395</v>
      </c>
      <c r="I88" s="7">
        <f t="shared" si="52"/>
        <v>-41777</v>
      </c>
      <c r="J88" s="7">
        <v>-31506</v>
      </c>
      <c r="K88" s="7">
        <f t="shared" si="50"/>
        <v>-31506</v>
      </c>
      <c r="L88" s="7">
        <f t="shared" si="50"/>
        <v>-15962</v>
      </c>
      <c r="M88" s="7">
        <f t="shared" si="50"/>
        <v>-15962</v>
      </c>
      <c r="N88" s="8">
        <f t="shared" si="50"/>
        <v>-2564</v>
      </c>
    </row>
    <row r="89" spans="2:14" x14ac:dyDescent="0.25">
      <c r="B89" s="14"/>
      <c r="C89" s="14"/>
      <c r="D89" s="7"/>
      <c r="E89" s="7"/>
      <c r="F89" s="7"/>
      <c r="G89" s="7"/>
      <c r="H89" s="7"/>
      <c r="I89" s="7"/>
      <c r="J89" s="7"/>
      <c r="K89" s="7"/>
      <c r="L89" s="7"/>
      <c r="M89" s="7"/>
      <c r="N89" s="8"/>
    </row>
    <row r="90" spans="2:14" x14ac:dyDescent="0.25">
      <c r="B90" s="17" t="s">
        <v>20</v>
      </c>
      <c r="C90" s="17">
        <f t="shared" ref="C90" si="53">SUM(C80+C86+C88)</f>
        <v>-19308</v>
      </c>
      <c r="D90" s="11">
        <f t="shared" ref="D90" si="54">SUM(D80+D86+D88)</f>
        <v>-64758</v>
      </c>
      <c r="E90" s="11">
        <f t="shared" ref="E90:F90" si="55">SUM(E80+E86+E88)</f>
        <v>-44164.789999999979</v>
      </c>
      <c r="F90" s="11">
        <f t="shared" si="55"/>
        <v>57717.53</v>
      </c>
      <c r="G90" s="11">
        <f t="shared" ref="G90:K90" si="56">SUM(G80+G86+G88)</f>
        <v>19099.23000000001</v>
      </c>
      <c r="H90" s="11">
        <f t="shared" ref="H90:I90" si="57">SUM(H80+H86+H88)</f>
        <v>20355.610000000015</v>
      </c>
      <c r="I90" s="11">
        <f t="shared" si="57"/>
        <v>-68776.59</v>
      </c>
      <c r="J90" s="11">
        <v>2779.3899999999849</v>
      </c>
      <c r="K90" s="11">
        <f t="shared" si="56"/>
        <v>15138.160000000003</v>
      </c>
      <c r="L90" s="11">
        <f>SUM(L80+L86+L88)</f>
        <v>-32678.589999999997</v>
      </c>
      <c r="M90" s="11">
        <f t="shared" ref="M90:N90" si="58">SUM(M80+M86+M88)</f>
        <v>57286.26999999999</v>
      </c>
      <c r="N90" s="18">
        <f t="shared" si="58"/>
        <v>83693.679999999993</v>
      </c>
    </row>
    <row r="91" spans="2:14" x14ac:dyDescent="0.25">
      <c r="B91" s="14"/>
      <c r="C91" s="14"/>
      <c r="D91" s="7"/>
      <c r="E91" s="7"/>
      <c r="F91" s="7"/>
      <c r="G91" s="7"/>
      <c r="H91" s="7"/>
      <c r="I91" s="7"/>
      <c r="J91" s="7"/>
      <c r="K91" s="7"/>
      <c r="L91" s="7"/>
      <c r="M91" s="7"/>
      <c r="N91" s="8"/>
    </row>
    <row r="92" spans="2:14" x14ac:dyDescent="0.25">
      <c r="B92" s="14" t="s">
        <v>21</v>
      </c>
      <c r="C92" s="14">
        <f t="shared" ref="C92" si="59">SUM(C70)</f>
        <v>-1000</v>
      </c>
      <c r="D92" s="7">
        <f t="shared" ref="D92:G92" si="60">SUM(D70)</f>
        <v>-1930</v>
      </c>
      <c r="E92" s="7">
        <f t="shared" ref="E92:F92" si="61">SUM(E70)</f>
        <v>-389.53999999999996</v>
      </c>
      <c r="F92" s="7">
        <f t="shared" si="61"/>
        <v>-200.94</v>
      </c>
      <c r="G92" s="7">
        <f t="shared" si="60"/>
        <v>-657</v>
      </c>
      <c r="H92" s="7">
        <f t="shared" ref="H92:I92" si="62">SUM(H70)</f>
        <v>-111</v>
      </c>
      <c r="I92" s="7">
        <f t="shared" si="62"/>
        <v>-919</v>
      </c>
      <c r="J92" s="7">
        <v>-1078.5</v>
      </c>
      <c r="K92" s="7">
        <f t="shared" ref="K92:N92" si="63">SUM(K70)</f>
        <v>-1103</v>
      </c>
      <c r="L92" s="7">
        <f t="shared" si="63"/>
        <v>-997.5</v>
      </c>
      <c r="M92" s="7">
        <f t="shared" si="63"/>
        <v>-743.19</v>
      </c>
      <c r="N92" s="8">
        <f t="shared" si="63"/>
        <v>-248.05999999999995</v>
      </c>
    </row>
    <row r="93" spans="2:14" x14ac:dyDescent="0.25">
      <c r="B93" s="14"/>
      <c r="C93" s="14"/>
      <c r="D93" s="7"/>
      <c r="E93" s="7"/>
      <c r="F93" s="7"/>
      <c r="G93" s="7"/>
      <c r="H93" s="7"/>
      <c r="I93" s="7"/>
      <c r="J93" s="7"/>
      <c r="K93" s="7"/>
      <c r="L93" s="7"/>
      <c r="M93" s="7"/>
      <c r="N93" s="8"/>
    </row>
    <row r="94" spans="2:14" ht="15.75" thickBot="1" x14ac:dyDescent="0.3">
      <c r="B94" s="19" t="s">
        <v>10</v>
      </c>
      <c r="C94" s="19">
        <f t="shared" ref="C94" si="64">SUM(C90+C92)</f>
        <v>-20308</v>
      </c>
      <c r="D94" s="9">
        <f t="shared" ref="D94:K94" si="65">SUM(D90+D92)</f>
        <v>-66688</v>
      </c>
      <c r="E94" s="9">
        <f t="shared" ref="E94:F94" si="66">SUM(E90+E92)</f>
        <v>-44554.32999999998</v>
      </c>
      <c r="F94" s="9">
        <f t="shared" si="66"/>
        <v>57516.59</v>
      </c>
      <c r="G94" s="9">
        <f t="shared" ref="G94" si="67">SUM(G90+G92)</f>
        <v>18442.23000000001</v>
      </c>
      <c r="H94" s="9">
        <f t="shared" ref="H94:I94" si="68">SUM(H90+H92)</f>
        <v>20244.610000000015</v>
      </c>
      <c r="I94" s="9">
        <f t="shared" si="68"/>
        <v>-69695.59</v>
      </c>
      <c r="J94" s="9">
        <v>1700.8899999999849</v>
      </c>
      <c r="K94" s="9">
        <f t="shared" si="65"/>
        <v>14035.160000000003</v>
      </c>
      <c r="L94" s="9">
        <f>SUM(L90+L92)</f>
        <v>-33676.089999999997</v>
      </c>
      <c r="M94" s="9">
        <f t="shared" ref="M94:N94" si="69">SUM(M90+M92)</f>
        <v>56543.079999999987</v>
      </c>
      <c r="N94" s="10">
        <f t="shared" si="69"/>
        <v>83445.62</v>
      </c>
    </row>
  </sheetData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4EB66-2A0F-47C7-B150-D940367D862B}">
  <dimension ref="A1:R83"/>
  <sheetViews>
    <sheetView zoomScale="118" zoomScaleNormal="118" workbookViewId="0">
      <pane xSplit="3" ySplit="2" topLeftCell="D57" activePane="bottomRight" state="frozen"/>
      <selection pane="topRight" activeCell="D1" sqref="D1"/>
      <selection pane="bottomLeft" activeCell="A3" sqref="A3"/>
      <selection pane="bottomRight" activeCell="U73" sqref="U73"/>
    </sheetView>
  </sheetViews>
  <sheetFormatPr defaultRowHeight="15" outlineLevelRow="1" outlineLevelCol="1" x14ac:dyDescent="0.25"/>
  <cols>
    <col min="1" max="1" width="5.7109375" customWidth="1"/>
    <col min="2" max="2" width="29.28515625" bestFit="1" customWidth="1"/>
    <col min="3" max="3" width="14.42578125" customWidth="1"/>
    <col min="4" max="4" width="8.7109375" customWidth="1"/>
    <col min="5" max="5" width="11.28515625" customWidth="1"/>
    <col min="6" max="6" width="8.7109375" customWidth="1"/>
    <col min="7" max="16" width="8.7109375" hidden="1" customWidth="1" outlineLevel="1"/>
    <col min="17" max="17" width="9.140625" collapsed="1"/>
  </cols>
  <sheetData>
    <row r="1" spans="1:18" ht="63" customHeight="1" outlineLevel="1" x14ac:dyDescent="0.35">
      <c r="A1" s="47" t="s">
        <v>49</v>
      </c>
    </row>
    <row r="2" spans="1:18" ht="33.75" customHeight="1" outlineLevel="1" x14ac:dyDescent="0.25">
      <c r="C2" s="63" t="s">
        <v>62</v>
      </c>
      <c r="D2" s="30" t="s">
        <v>56</v>
      </c>
      <c r="E2" s="31" t="s">
        <v>51</v>
      </c>
      <c r="G2" s="30" t="s">
        <v>56</v>
      </c>
      <c r="H2" s="30" t="s">
        <v>50</v>
      </c>
      <c r="I2" s="30" t="s">
        <v>47</v>
      </c>
      <c r="J2" s="30" t="s">
        <v>40</v>
      </c>
      <c r="K2" s="30" t="s">
        <v>31</v>
      </c>
      <c r="L2" s="30" t="s">
        <v>29</v>
      </c>
      <c r="M2" s="30" t="s">
        <v>22</v>
      </c>
      <c r="N2" s="30" t="s">
        <v>0</v>
      </c>
      <c r="O2" s="30" t="s">
        <v>1</v>
      </c>
      <c r="P2" s="30" t="s">
        <v>2</v>
      </c>
      <c r="Q2" s="74" t="s">
        <v>53</v>
      </c>
      <c r="R2" s="75"/>
    </row>
    <row r="3" spans="1:18" outlineLevel="1" x14ac:dyDescent="0.25">
      <c r="A3" s="1" t="str">
        <f>"3015"</f>
        <v>3015</v>
      </c>
      <c r="B3" s="1" t="str">
        <f>"Diverse bidrag"</f>
        <v>Diverse bidrag</v>
      </c>
      <c r="C3" s="48">
        <v>2000</v>
      </c>
      <c r="D3" s="26">
        <v>0</v>
      </c>
      <c r="E3" s="26">
        <f t="shared" ref="E3:E9" si="0">SUM(D3-C3)</f>
        <v>-2000</v>
      </c>
      <c r="G3" s="26">
        <v>0</v>
      </c>
      <c r="H3" s="26">
        <v>1890</v>
      </c>
      <c r="I3" s="26">
        <v>670.04</v>
      </c>
      <c r="J3" s="26">
        <v>1059</v>
      </c>
      <c r="K3" s="26">
        <v>868</v>
      </c>
      <c r="L3" s="26">
        <v>37123</v>
      </c>
      <c r="M3" s="26">
        <v>821</v>
      </c>
      <c r="N3" s="26">
        <v>304</v>
      </c>
      <c r="O3" s="26">
        <v>30000</v>
      </c>
      <c r="P3" s="26">
        <v>0</v>
      </c>
    </row>
    <row r="4" spans="1:18" outlineLevel="1" x14ac:dyDescent="0.25">
      <c r="A4" s="1" t="s">
        <v>26</v>
      </c>
      <c r="B4" s="1" t="s">
        <v>27</v>
      </c>
      <c r="C4" s="48">
        <v>13000</v>
      </c>
      <c r="D4" s="26">
        <v>9571</v>
      </c>
      <c r="E4" s="26">
        <f t="shared" si="0"/>
        <v>-3429</v>
      </c>
      <c r="G4" s="26">
        <v>9571</v>
      </c>
      <c r="H4" s="26">
        <v>12861</v>
      </c>
      <c r="I4" s="26">
        <v>11430</v>
      </c>
      <c r="J4" s="26">
        <v>16845</v>
      </c>
      <c r="K4" s="26">
        <v>11220</v>
      </c>
      <c r="L4" s="26">
        <v>5340</v>
      </c>
      <c r="M4" s="26">
        <v>1900</v>
      </c>
      <c r="N4" s="26"/>
      <c r="O4" s="26"/>
      <c r="P4" s="26"/>
    </row>
    <row r="5" spans="1:18" outlineLevel="1" x14ac:dyDescent="0.25">
      <c r="A5" s="1" t="s">
        <v>58</v>
      </c>
      <c r="B5" s="1" t="s">
        <v>59</v>
      </c>
      <c r="C5" s="48">
        <v>0</v>
      </c>
      <c r="D5" s="26">
        <v>6499</v>
      </c>
      <c r="E5" s="26">
        <f t="shared" si="0"/>
        <v>6499</v>
      </c>
      <c r="G5" s="26">
        <v>6499</v>
      </c>
      <c r="H5" s="26"/>
      <c r="I5" s="26"/>
      <c r="J5" s="26"/>
      <c r="K5" s="26"/>
      <c r="L5" s="26"/>
      <c r="M5" s="26"/>
      <c r="N5" s="26"/>
      <c r="O5" s="26"/>
      <c r="P5" s="26"/>
    </row>
    <row r="6" spans="1:18" outlineLevel="1" x14ac:dyDescent="0.25">
      <c r="A6" s="1" t="s">
        <v>32</v>
      </c>
      <c r="B6" s="1" t="s">
        <v>33</v>
      </c>
      <c r="C6" s="48">
        <v>0</v>
      </c>
      <c r="D6" s="26">
        <v>680</v>
      </c>
      <c r="E6" s="26">
        <f t="shared" si="0"/>
        <v>680</v>
      </c>
      <c r="G6" s="26">
        <v>680</v>
      </c>
      <c r="H6" s="26">
        <v>0</v>
      </c>
      <c r="I6" s="26">
        <v>120</v>
      </c>
      <c r="J6" s="26">
        <v>680</v>
      </c>
      <c r="K6" s="26">
        <v>380</v>
      </c>
      <c r="L6" s="26"/>
      <c r="M6" s="26"/>
      <c r="N6" s="26"/>
      <c r="O6" s="26"/>
      <c r="P6" s="26"/>
    </row>
    <row r="7" spans="1:18" outlineLevel="1" x14ac:dyDescent="0.25">
      <c r="A7" s="1" t="str">
        <f>"3811"</f>
        <v>3811</v>
      </c>
      <c r="B7" s="1" t="str">
        <f>"Medlemsavgifter"</f>
        <v>Medlemsavgifter</v>
      </c>
      <c r="C7" s="48">
        <v>40000</v>
      </c>
      <c r="D7" s="26">
        <v>37250</v>
      </c>
      <c r="E7" s="26">
        <f t="shared" si="0"/>
        <v>-2750</v>
      </c>
      <c r="G7" s="26">
        <v>37250</v>
      </c>
      <c r="H7" s="26">
        <v>39000</v>
      </c>
      <c r="I7" s="26">
        <v>34250</v>
      </c>
      <c r="J7" s="26">
        <v>35250</v>
      </c>
      <c r="K7" s="26">
        <v>30500</v>
      </c>
      <c r="L7" s="26">
        <v>28500</v>
      </c>
      <c r="M7" s="26">
        <v>28000</v>
      </c>
      <c r="N7" s="26">
        <v>27750</v>
      </c>
      <c r="O7" s="26">
        <v>27700</v>
      </c>
      <c r="P7" s="26">
        <v>34350</v>
      </c>
    </row>
    <row r="8" spans="1:18" outlineLevel="1" x14ac:dyDescent="0.25">
      <c r="A8" s="1" t="str">
        <f>"3816"</f>
        <v>3816</v>
      </c>
      <c r="B8" s="1" t="str">
        <f>"Medlemsavgift familj"</f>
        <v>Medlemsavgift familj</v>
      </c>
      <c r="C8" s="48">
        <v>12000</v>
      </c>
      <c r="D8" s="26">
        <v>11200</v>
      </c>
      <c r="E8" s="26">
        <f t="shared" si="0"/>
        <v>-800</v>
      </c>
      <c r="G8" s="26">
        <v>11200</v>
      </c>
      <c r="H8" s="26">
        <v>11200</v>
      </c>
      <c r="I8" s="26">
        <v>11200</v>
      </c>
      <c r="J8" s="26">
        <v>10800</v>
      </c>
      <c r="K8" s="26">
        <v>9600</v>
      </c>
      <c r="L8" s="26">
        <v>10000</v>
      </c>
      <c r="M8" s="26">
        <v>12400</v>
      </c>
      <c r="N8" s="26">
        <v>12800</v>
      </c>
      <c r="O8" s="26">
        <v>9600</v>
      </c>
      <c r="P8" s="26">
        <v>10000</v>
      </c>
    </row>
    <row r="9" spans="1:18" outlineLevel="1" x14ac:dyDescent="0.25">
      <c r="A9" s="1" t="str">
        <f>"3820"</f>
        <v>3820</v>
      </c>
      <c r="B9" s="1" t="s">
        <v>46</v>
      </c>
      <c r="C9" s="48">
        <v>3000</v>
      </c>
      <c r="D9" s="26">
        <v>3913</v>
      </c>
      <c r="E9" s="26">
        <f t="shared" si="0"/>
        <v>913</v>
      </c>
      <c r="G9" s="26">
        <v>3913</v>
      </c>
      <c r="H9" s="26">
        <v>3700</v>
      </c>
      <c r="I9" s="26">
        <v>0</v>
      </c>
      <c r="J9" s="26">
        <v>1273.51</v>
      </c>
      <c r="K9" s="26">
        <v>0</v>
      </c>
      <c r="L9" s="26">
        <v>500</v>
      </c>
      <c r="M9" s="26">
        <v>2876</v>
      </c>
      <c r="N9" s="26">
        <v>700</v>
      </c>
      <c r="O9" s="26">
        <v>15170</v>
      </c>
      <c r="P9" s="26">
        <v>1245</v>
      </c>
    </row>
    <row r="10" spans="1:18" outlineLevel="1" x14ac:dyDescent="0.25">
      <c r="A10" s="1" t="str">
        <f>"3821"</f>
        <v>3821</v>
      </c>
      <c r="B10" s="1" t="str">
        <f>"Kran sjösättning"</f>
        <v>Kran sjösättning</v>
      </c>
      <c r="C10" s="48">
        <v>46000</v>
      </c>
      <c r="D10" s="26">
        <v>38400</v>
      </c>
      <c r="E10" s="26">
        <f>SUM(D10-C10)</f>
        <v>-7600</v>
      </c>
      <c r="G10" s="26">
        <v>38400</v>
      </c>
      <c r="H10" s="26">
        <v>46000</v>
      </c>
      <c r="I10" s="26">
        <v>46000</v>
      </c>
      <c r="J10" s="26">
        <v>40400</v>
      </c>
      <c r="K10" s="26">
        <v>40800</v>
      </c>
      <c r="L10" s="26">
        <v>41600</v>
      </c>
      <c r="M10" s="26">
        <v>44000</v>
      </c>
      <c r="N10" s="26">
        <v>37000</v>
      </c>
      <c r="O10" s="26">
        <v>74200</v>
      </c>
      <c r="P10" s="26">
        <v>95050</v>
      </c>
    </row>
    <row r="11" spans="1:18" outlineLevel="1" x14ac:dyDescent="0.25">
      <c r="A11" s="1" t="str">
        <f>"3822"</f>
        <v>3822</v>
      </c>
      <c r="B11" s="1" t="str">
        <f>"Kran upptagning"</f>
        <v>Kran upptagning</v>
      </c>
      <c r="C11" s="48">
        <v>50000</v>
      </c>
      <c r="D11" s="26">
        <v>47200</v>
      </c>
      <c r="E11" s="26">
        <f t="shared" ref="E11:E15" si="1">SUM(D11-C11)</f>
        <v>-2800</v>
      </c>
      <c r="G11" s="26">
        <v>47200</v>
      </c>
      <c r="H11" s="26">
        <v>49600</v>
      </c>
      <c r="I11" s="26">
        <v>50800</v>
      </c>
      <c r="J11" s="26">
        <v>50800</v>
      </c>
      <c r="K11" s="26">
        <v>48400</v>
      </c>
      <c r="L11" s="26">
        <v>52000</v>
      </c>
      <c r="M11" s="26">
        <v>51200</v>
      </c>
      <c r="N11" s="26">
        <v>44000</v>
      </c>
      <c r="O11" s="26">
        <v>0</v>
      </c>
      <c r="P11" s="26"/>
    </row>
    <row r="12" spans="1:18" outlineLevel="1" x14ac:dyDescent="0.25">
      <c r="A12" s="1" t="str">
        <f>"3823"</f>
        <v>3823</v>
      </c>
      <c r="B12" s="1" t="str">
        <f>"Uppläggning plan"</f>
        <v>Uppläggning plan</v>
      </c>
      <c r="C12" s="48">
        <v>24000</v>
      </c>
      <c r="D12" s="26">
        <v>30750</v>
      </c>
      <c r="E12" s="26">
        <f t="shared" si="1"/>
        <v>6750</v>
      </c>
      <c r="G12" s="26">
        <v>30750</v>
      </c>
      <c r="H12" s="26">
        <v>23250</v>
      </c>
      <c r="I12" s="26">
        <v>19500</v>
      </c>
      <c r="J12" s="26">
        <v>14425</v>
      </c>
      <c r="K12" s="26">
        <v>24375</v>
      </c>
      <c r="L12" s="26">
        <v>30750</v>
      </c>
      <c r="M12" s="26">
        <v>22750</v>
      </c>
      <c r="N12" s="26">
        <v>25875</v>
      </c>
      <c r="O12" s="26">
        <v>21000</v>
      </c>
      <c r="P12" s="26">
        <v>28900</v>
      </c>
    </row>
    <row r="13" spans="1:18" outlineLevel="1" x14ac:dyDescent="0.25">
      <c r="A13" s="1" t="str">
        <f>"3824"</f>
        <v>3824</v>
      </c>
      <c r="B13" s="1" t="str">
        <f>"Uppläggning skjul"</f>
        <v>Uppläggning skjul</v>
      </c>
      <c r="C13" s="48">
        <v>17100</v>
      </c>
      <c r="D13" s="26">
        <v>17100</v>
      </c>
      <c r="E13" s="26">
        <f t="shared" si="1"/>
        <v>0</v>
      </c>
      <c r="G13" s="26">
        <v>17100</v>
      </c>
      <c r="H13" s="26">
        <v>16650</v>
      </c>
      <c r="I13" s="26">
        <v>18000</v>
      </c>
      <c r="J13" s="26">
        <v>16200</v>
      </c>
      <c r="K13" s="26">
        <v>17100</v>
      </c>
      <c r="L13" s="26">
        <v>17100</v>
      </c>
      <c r="M13" s="26">
        <v>17550</v>
      </c>
      <c r="N13" s="26">
        <v>17475</v>
      </c>
      <c r="O13" s="26">
        <v>16200</v>
      </c>
      <c r="P13" s="26">
        <v>24750</v>
      </c>
    </row>
    <row r="14" spans="1:18" outlineLevel="1" x14ac:dyDescent="0.25">
      <c r="A14" s="20" t="s">
        <v>24</v>
      </c>
      <c r="B14" s="20" t="s">
        <v>25</v>
      </c>
      <c r="C14" s="49">
        <v>0</v>
      </c>
      <c r="D14" s="27">
        <v>0</v>
      </c>
      <c r="E14" s="27">
        <f t="shared" si="1"/>
        <v>0</v>
      </c>
      <c r="G14" s="27">
        <v>0</v>
      </c>
      <c r="H14" s="27">
        <v>4500</v>
      </c>
      <c r="I14" s="27"/>
      <c r="J14" s="27"/>
      <c r="K14" s="27">
        <v>0</v>
      </c>
      <c r="L14" s="27">
        <v>0</v>
      </c>
      <c r="M14" s="27">
        <v>12000</v>
      </c>
      <c r="N14" s="27"/>
      <c r="O14" s="27"/>
      <c r="P14" s="27"/>
    </row>
    <row r="15" spans="1:18" outlineLevel="1" x14ac:dyDescent="0.25">
      <c r="A15" s="4" t="s">
        <v>4</v>
      </c>
      <c r="B15" s="5"/>
      <c r="C15" s="11">
        <v>207100</v>
      </c>
      <c r="D15" s="33">
        <f>SUM(D3:D14)</f>
        <v>202563</v>
      </c>
      <c r="E15" s="33">
        <f t="shared" si="1"/>
        <v>-4537</v>
      </c>
      <c r="G15" s="33">
        <f>SUM(G3:G14)</f>
        <v>202563</v>
      </c>
      <c r="H15" s="33">
        <f>SUM(H3:H14)</f>
        <v>208651</v>
      </c>
      <c r="I15" s="33">
        <f>SUM(I3:I14)</f>
        <v>191970.04</v>
      </c>
      <c r="J15" s="33">
        <f>SUM(J3:J14)</f>
        <v>187732.51</v>
      </c>
      <c r="K15" s="33">
        <f>SUM(K3:K14)</f>
        <v>183243</v>
      </c>
      <c r="L15" s="33">
        <v>222913</v>
      </c>
      <c r="M15" s="33">
        <f>SUM(M3:M14)</f>
        <v>193497</v>
      </c>
      <c r="N15" s="33">
        <f t="shared" ref="N15:P15" si="2">SUM(N3:N14)</f>
        <v>165904</v>
      </c>
      <c r="O15" s="33">
        <f t="shared" si="2"/>
        <v>193870</v>
      </c>
      <c r="P15" s="33">
        <f t="shared" si="2"/>
        <v>194295</v>
      </c>
    </row>
    <row r="16" spans="1:18" outlineLevel="1" x14ac:dyDescent="0.25">
      <c r="C16" s="7">
        <v>0</v>
      </c>
      <c r="D16" s="26"/>
      <c r="E16" s="26"/>
      <c r="G16" s="26"/>
      <c r="H16" s="26"/>
      <c r="I16" s="26"/>
      <c r="J16" s="26"/>
      <c r="K16" s="25"/>
      <c r="L16" s="25"/>
      <c r="M16" s="25"/>
      <c r="N16" s="28"/>
      <c r="O16" s="28"/>
      <c r="P16" s="28"/>
    </row>
    <row r="17" spans="1:16" outlineLevel="1" x14ac:dyDescent="0.25">
      <c r="A17" s="4" t="str">
        <f>"Rörelsens kostnader"</f>
        <v>Rörelsens kostnader</v>
      </c>
      <c r="C17" s="7">
        <v>0</v>
      </c>
      <c r="D17" s="26"/>
      <c r="E17" s="26"/>
      <c r="G17" s="26"/>
      <c r="H17" s="26"/>
      <c r="I17" s="26"/>
      <c r="J17" s="26"/>
      <c r="K17" s="25"/>
      <c r="L17" s="25"/>
      <c r="M17" s="25"/>
      <c r="N17" s="28"/>
      <c r="O17" s="28"/>
      <c r="P17" s="28"/>
    </row>
    <row r="18" spans="1:16" outlineLevel="1" x14ac:dyDescent="0.25">
      <c r="A18" s="24" t="str">
        <f>"4012"</f>
        <v>4012</v>
      </c>
      <c r="B18" s="24" t="s">
        <v>41</v>
      </c>
      <c r="C18" s="50">
        <v>-17000</v>
      </c>
      <c r="D18" s="34">
        <v>-17370</v>
      </c>
      <c r="E18" s="26">
        <f>SUM(D18-C18)</f>
        <v>-370</v>
      </c>
      <c r="G18" s="34">
        <v>-17370</v>
      </c>
      <c r="H18" s="34">
        <v>-14040</v>
      </c>
      <c r="I18" s="34">
        <v>-12782</v>
      </c>
      <c r="J18" s="34">
        <v>-11480</v>
      </c>
      <c r="K18" s="34">
        <v>0</v>
      </c>
      <c r="L18" s="34">
        <v>0</v>
      </c>
      <c r="M18" s="34">
        <v>0</v>
      </c>
      <c r="N18" s="34">
        <v>-357</v>
      </c>
      <c r="O18" s="34">
        <v>0</v>
      </c>
      <c r="P18" s="34">
        <v>-9328</v>
      </c>
    </row>
    <row r="19" spans="1:16" outlineLevel="1" x14ac:dyDescent="0.25">
      <c r="A19" s="24" t="str">
        <f>"4050"</f>
        <v>4050</v>
      </c>
      <c r="B19" s="24" t="str">
        <f>"Porto"</f>
        <v>Porto</v>
      </c>
      <c r="C19" s="50">
        <v>-1200</v>
      </c>
      <c r="D19" s="34">
        <v>0</v>
      </c>
      <c r="E19" s="26">
        <f t="shared" ref="E19:E25" si="3">SUM(D19-C19)</f>
        <v>1200</v>
      </c>
      <c r="G19" s="34">
        <v>0</v>
      </c>
      <c r="H19" s="34">
        <v>-2749.7</v>
      </c>
      <c r="I19" s="34">
        <v>-612</v>
      </c>
      <c r="J19" s="34">
        <v>-1650</v>
      </c>
      <c r="K19" s="34">
        <v>-1620</v>
      </c>
      <c r="L19" s="34">
        <v>-900</v>
      </c>
      <c r="M19" s="34">
        <v>-700</v>
      </c>
      <c r="N19" s="34">
        <v>-169</v>
      </c>
      <c r="O19" s="34">
        <v>-1345</v>
      </c>
      <c r="P19" s="34">
        <v>-700</v>
      </c>
    </row>
    <row r="20" spans="1:16" outlineLevel="1" x14ac:dyDescent="0.25">
      <c r="A20" s="24" t="str">
        <f>"4053"</f>
        <v>4053</v>
      </c>
      <c r="B20" s="24" t="str">
        <f>"Programkostnader"</f>
        <v>Programkostnader</v>
      </c>
      <c r="C20" s="50">
        <v>-2000</v>
      </c>
      <c r="D20" s="34">
        <v>-1208</v>
      </c>
      <c r="E20" s="26">
        <f t="shared" si="3"/>
        <v>792</v>
      </c>
      <c r="G20" s="34">
        <v>-1208</v>
      </c>
      <c r="H20" s="34">
        <v>-1638</v>
      </c>
      <c r="I20" s="34">
        <v>-1737</v>
      </c>
      <c r="J20" s="34">
        <v>-1727.73</v>
      </c>
      <c r="K20" s="34">
        <v>-1485</v>
      </c>
      <c r="L20" s="34">
        <v>-1395</v>
      </c>
      <c r="M20" s="34">
        <v>-1360</v>
      </c>
      <c r="N20" s="34">
        <v>-1320</v>
      </c>
      <c r="O20" s="34">
        <v>-1300</v>
      </c>
      <c r="P20" s="34">
        <v>-1265</v>
      </c>
    </row>
    <row r="21" spans="1:16" outlineLevel="1" x14ac:dyDescent="0.25">
      <c r="A21" s="24" t="str">
        <f>"4054"</f>
        <v>4054</v>
      </c>
      <c r="B21" s="24" t="str">
        <f>"Kontorsmaterial"</f>
        <v>Kontorsmaterial</v>
      </c>
      <c r="C21" s="50">
        <v>-1000</v>
      </c>
      <c r="D21" s="34">
        <v>-586.25</v>
      </c>
      <c r="E21" s="26">
        <f t="shared" si="3"/>
        <v>413.75</v>
      </c>
      <c r="G21" s="34">
        <v>-586.25</v>
      </c>
      <c r="H21" s="34">
        <v>-1229.7</v>
      </c>
      <c r="I21" s="34">
        <v>-144</v>
      </c>
      <c r="J21" s="34">
        <v>-508</v>
      </c>
      <c r="K21" s="34">
        <v>-375.5</v>
      </c>
      <c r="L21" s="34">
        <v>0</v>
      </c>
      <c r="M21" s="34">
        <v>-276</v>
      </c>
      <c r="N21" s="34">
        <v>-793</v>
      </c>
      <c r="O21" s="34">
        <v>-697.5</v>
      </c>
      <c r="P21" s="34">
        <v>-291</v>
      </c>
    </row>
    <row r="22" spans="1:16" outlineLevel="1" x14ac:dyDescent="0.25">
      <c r="A22" s="24" t="s">
        <v>3</v>
      </c>
      <c r="B22" s="24" t="str">
        <f>"IT-utrustning"</f>
        <v>IT-utrustning</v>
      </c>
      <c r="C22" s="50">
        <v>-6000</v>
      </c>
      <c r="D22" s="34">
        <v>0</v>
      </c>
      <c r="E22" s="26">
        <f t="shared" si="3"/>
        <v>6000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-8819</v>
      </c>
    </row>
    <row r="23" spans="1:16" outlineLevel="1" x14ac:dyDescent="0.25">
      <c r="A23" s="24" t="str">
        <f>"4056"</f>
        <v>4056</v>
      </c>
      <c r="B23" s="24" t="str">
        <f>"Annonsering"</f>
        <v>Annonsering</v>
      </c>
      <c r="C23" s="50">
        <v>-1500</v>
      </c>
      <c r="D23" s="34">
        <v>-653</v>
      </c>
      <c r="E23" s="26">
        <f t="shared" si="3"/>
        <v>847</v>
      </c>
      <c r="G23" s="34">
        <v>-653</v>
      </c>
      <c r="H23" s="34">
        <v>0</v>
      </c>
      <c r="I23" s="34">
        <v>0</v>
      </c>
      <c r="J23" s="34">
        <v>0</v>
      </c>
      <c r="K23" s="34">
        <v>-394</v>
      </c>
      <c r="L23" s="34">
        <v>-974</v>
      </c>
      <c r="M23" s="34">
        <v>-2246</v>
      </c>
      <c r="N23" s="34">
        <v>0</v>
      </c>
      <c r="O23" s="34">
        <v>-738</v>
      </c>
      <c r="P23" s="34">
        <v>-1318</v>
      </c>
    </row>
    <row r="24" spans="1:16" outlineLevel="1" x14ac:dyDescent="0.25">
      <c r="A24" s="24" t="str">
        <f>"4059"</f>
        <v>4059</v>
      </c>
      <c r="B24" s="24" t="str">
        <f>"Webbhotell"</f>
        <v>Webbhotell</v>
      </c>
      <c r="C24" s="50">
        <v>-400</v>
      </c>
      <c r="D24" s="34">
        <v>-1406.41</v>
      </c>
      <c r="E24" s="26">
        <f t="shared" si="3"/>
        <v>-1006.4100000000001</v>
      </c>
      <c r="G24" s="34">
        <v>-1406.41</v>
      </c>
      <c r="H24" s="34">
        <v>-306.25</v>
      </c>
      <c r="I24" s="34">
        <v>-161</v>
      </c>
      <c r="J24" s="34">
        <v>-139</v>
      </c>
      <c r="K24" s="34">
        <v>-139</v>
      </c>
      <c r="L24" s="34">
        <v>-1606</v>
      </c>
      <c r="M24" s="34">
        <v>-119</v>
      </c>
      <c r="N24" s="34">
        <v>-1467</v>
      </c>
      <c r="O24" s="34">
        <v>-1467</v>
      </c>
      <c r="P24" s="34">
        <v>0</v>
      </c>
    </row>
    <row r="25" spans="1:16" outlineLevel="1" x14ac:dyDescent="0.25">
      <c r="A25" s="24" t="str">
        <f>"4063"</f>
        <v>4063</v>
      </c>
      <c r="B25" s="24" t="str">
        <f>"Bokföring"</f>
        <v>Bokföring</v>
      </c>
      <c r="C25" s="50">
        <v>0</v>
      </c>
      <c r="D25" s="34">
        <v>0</v>
      </c>
      <c r="E25" s="26">
        <f t="shared" si="3"/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-10688</v>
      </c>
      <c r="O25" s="34">
        <v>-15001</v>
      </c>
      <c r="P25" s="34">
        <v>-5001</v>
      </c>
    </row>
    <row r="26" spans="1:16" outlineLevel="1" x14ac:dyDescent="0.25">
      <c r="A26" s="23" t="str">
        <f>"4151"</f>
        <v>4151</v>
      </c>
      <c r="B26" s="23" t="str">
        <f>"Arrende Kranområde"</f>
        <v>Arrende Kranområde</v>
      </c>
      <c r="C26" s="51">
        <v>-1008</v>
      </c>
      <c r="D26" s="35">
        <v>-1008</v>
      </c>
      <c r="E26" s="26">
        <f>SUM(D26-C26)</f>
        <v>0</v>
      </c>
      <c r="G26" s="35">
        <v>-1008</v>
      </c>
      <c r="H26" s="35">
        <v>-1008</v>
      </c>
      <c r="I26" s="35">
        <v>-1008</v>
      </c>
      <c r="J26" s="35">
        <v>-1008</v>
      </c>
      <c r="K26" s="35">
        <v>0</v>
      </c>
      <c r="L26" s="35">
        <v>-1008</v>
      </c>
      <c r="M26" s="35">
        <v>-1008</v>
      </c>
      <c r="N26" s="35">
        <v>-2016</v>
      </c>
      <c r="O26" s="35">
        <v>0</v>
      </c>
      <c r="P26" s="35">
        <v>-1008</v>
      </c>
    </row>
    <row r="27" spans="1:16" outlineLevel="1" x14ac:dyDescent="0.25">
      <c r="A27" s="23" t="str">
        <f>"4152"</f>
        <v>4152</v>
      </c>
      <c r="B27" s="23" t="str">
        <f>"El Kranområde"</f>
        <v>El Kranområde</v>
      </c>
      <c r="C27" s="51">
        <v>-37000</v>
      </c>
      <c r="D27" s="35">
        <v>-25779.62</v>
      </c>
      <c r="E27" s="26">
        <f t="shared" ref="E27:E63" si="4">SUM(D27-C27)</f>
        <v>11220.380000000001</v>
      </c>
      <c r="G27" s="35">
        <v>-25779.62</v>
      </c>
      <c r="H27" s="35">
        <v>-35919.89</v>
      </c>
      <c r="I27" s="35">
        <v>-36290</v>
      </c>
      <c r="J27" s="35">
        <v>-29437.65</v>
      </c>
      <c r="K27" s="35">
        <v>-31962.17</v>
      </c>
      <c r="L27" s="35">
        <v>-28827.23</v>
      </c>
      <c r="M27" s="35">
        <v>-22288</v>
      </c>
      <c r="N27" s="35">
        <v>-18564.47</v>
      </c>
      <c r="O27" s="35">
        <v>-18668.830000000002</v>
      </c>
      <c r="P27" s="35">
        <v>-21623.5</v>
      </c>
    </row>
    <row r="28" spans="1:16" outlineLevel="1" x14ac:dyDescent="0.25">
      <c r="A28" s="23" t="str">
        <f>"4153"</f>
        <v>4153</v>
      </c>
      <c r="B28" s="23" t="str">
        <f>"Vatten Kranområde"</f>
        <v>Vatten Kranområde</v>
      </c>
      <c r="C28" s="51">
        <v>-4200</v>
      </c>
      <c r="D28" s="35">
        <v>-5456</v>
      </c>
      <c r="E28" s="26">
        <f t="shared" si="4"/>
        <v>-1256</v>
      </c>
      <c r="G28" s="35">
        <v>-5456</v>
      </c>
      <c r="H28" s="35">
        <v>-3734</v>
      </c>
      <c r="I28" s="35">
        <v>-4011</v>
      </c>
      <c r="J28" s="35">
        <v>-3799</v>
      </c>
      <c r="K28" s="35">
        <v>-8792</v>
      </c>
      <c r="L28" s="35">
        <v>-665</v>
      </c>
      <c r="M28" s="35">
        <v>-3525</v>
      </c>
      <c r="N28" s="35">
        <v>-3768</v>
      </c>
      <c r="O28" s="35">
        <v>-4354.1499999999996</v>
      </c>
      <c r="P28" s="35">
        <v>-5815.27</v>
      </c>
    </row>
    <row r="29" spans="1:16" outlineLevel="1" x14ac:dyDescent="0.25">
      <c r="A29" s="23" t="str">
        <f>"4154"</f>
        <v>4154</v>
      </c>
      <c r="B29" s="23" t="str">
        <f>"Tillståndsavgifter"</f>
        <v>Tillståndsavgifter</v>
      </c>
      <c r="C29" s="51">
        <v>0</v>
      </c>
      <c r="D29" s="35">
        <v>0</v>
      </c>
      <c r="E29" s="26">
        <f t="shared" si="4"/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-2003</v>
      </c>
      <c r="P29" s="35">
        <v>0</v>
      </c>
    </row>
    <row r="30" spans="1:16" outlineLevel="1" x14ac:dyDescent="0.25">
      <c r="A30" s="23" t="s">
        <v>34</v>
      </c>
      <c r="B30" s="23" t="s">
        <v>35</v>
      </c>
      <c r="C30" s="51">
        <v>-2000</v>
      </c>
      <c r="D30" s="35">
        <v>0</v>
      </c>
      <c r="E30" s="26">
        <f t="shared" si="4"/>
        <v>2000</v>
      </c>
      <c r="G30" s="35">
        <v>0</v>
      </c>
      <c r="H30" s="35">
        <v>0</v>
      </c>
      <c r="I30" s="35">
        <v>0</v>
      </c>
      <c r="J30" s="35">
        <v>-3547</v>
      </c>
      <c r="K30" s="35">
        <v>-13099.13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</row>
    <row r="31" spans="1:16" outlineLevel="1" x14ac:dyDescent="0.25">
      <c r="A31" s="23" t="str">
        <f>"4156"</f>
        <v>4156</v>
      </c>
      <c r="B31" s="23" t="str">
        <f>"Övr. kost. Kranområde"</f>
        <v>Övr. kost. Kranområde</v>
      </c>
      <c r="C31" s="51">
        <v>-30000</v>
      </c>
      <c r="D31" s="35">
        <v>-19989.13</v>
      </c>
      <c r="E31" s="26">
        <f t="shared" si="4"/>
        <v>10010.869999999999</v>
      </c>
      <c r="G31" s="35">
        <v>-19989.13</v>
      </c>
      <c r="H31" s="35">
        <v>-13299.6</v>
      </c>
      <c r="I31" s="35">
        <v>-8313</v>
      </c>
      <c r="J31" s="35">
        <v>-9147</v>
      </c>
      <c r="K31" s="35">
        <v>-7648.75</v>
      </c>
      <c r="L31" s="35">
        <v>-23496</v>
      </c>
      <c r="M31" s="35">
        <v>-21452</v>
      </c>
      <c r="N31" s="35">
        <v>-50207</v>
      </c>
      <c r="O31" s="35">
        <v>-24589.97</v>
      </c>
      <c r="P31" s="35">
        <v>-14978.89</v>
      </c>
    </row>
    <row r="32" spans="1:16" outlineLevel="1" x14ac:dyDescent="0.25">
      <c r="A32" s="23" t="s">
        <v>42</v>
      </c>
      <c r="B32" s="23" t="s">
        <v>43</v>
      </c>
      <c r="C32" s="51">
        <v>-2400</v>
      </c>
      <c r="D32" s="35">
        <v>0</v>
      </c>
      <c r="E32" s="26">
        <f t="shared" si="4"/>
        <v>2400</v>
      </c>
      <c r="G32" s="35">
        <v>0</v>
      </c>
      <c r="H32" s="35">
        <v>-1908</v>
      </c>
      <c r="I32" s="35">
        <v>-4972</v>
      </c>
      <c r="J32" s="35">
        <v>-5310</v>
      </c>
      <c r="K32" s="35"/>
      <c r="L32" s="35"/>
      <c r="M32" s="35"/>
      <c r="N32" s="35"/>
      <c r="O32" s="35"/>
      <c r="P32" s="35"/>
    </row>
    <row r="33" spans="1:16" outlineLevel="1" x14ac:dyDescent="0.25">
      <c r="A33" s="23" t="str">
        <f>"4158"</f>
        <v>4158</v>
      </c>
      <c r="B33" s="23" t="str">
        <f>"Sly- och gräsröjning"</f>
        <v>Sly- och gräsröjning</v>
      </c>
      <c r="C33" s="51">
        <v>-9000</v>
      </c>
      <c r="D33" s="35">
        <v>-2188</v>
      </c>
      <c r="E33" s="26">
        <f t="shared" si="4"/>
        <v>6812</v>
      </c>
      <c r="G33" s="35">
        <v>-2188</v>
      </c>
      <c r="H33" s="35">
        <v>-8750</v>
      </c>
      <c r="I33" s="35">
        <v>0</v>
      </c>
      <c r="J33" s="35">
        <v>-3250</v>
      </c>
      <c r="K33" s="35">
        <v>-9250</v>
      </c>
      <c r="L33" s="35">
        <v>-2500</v>
      </c>
      <c r="M33" s="35">
        <v>0</v>
      </c>
      <c r="N33" s="35">
        <v>-900</v>
      </c>
      <c r="O33" s="35">
        <v>-2125</v>
      </c>
      <c r="P33" s="35">
        <v>-4630</v>
      </c>
    </row>
    <row r="34" spans="1:16" outlineLevel="1" x14ac:dyDescent="0.25">
      <c r="A34" s="23" t="str">
        <f>"4159"</f>
        <v>4159</v>
      </c>
      <c r="B34" s="23" t="str">
        <f>"Fastighetsskatt"</f>
        <v>Fastighetsskatt</v>
      </c>
      <c r="C34" s="51">
        <v>-4450</v>
      </c>
      <c r="D34" s="35">
        <v>-3765</v>
      </c>
      <c r="E34" s="26">
        <f t="shared" si="4"/>
        <v>685</v>
      </c>
      <c r="G34" s="35">
        <v>-3765</v>
      </c>
      <c r="H34" s="35">
        <v>-3765</v>
      </c>
      <c r="I34" s="35">
        <v>-3765</v>
      </c>
      <c r="J34" s="35">
        <v>-3080</v>
      </c>
      <c r="K34" s="35">
        <v>-4450</v>
      </c>
      <c r="L34" s="35">
        <v>-4450</v>
      </c>
      <c r="M34" s="35">
        <v>-4450</v>
      </c>
      <c r="N34" s="35">
        <v>-8900</v>
      </c>
      <c r="O34" s="35">
        <v>-4450</v>
      </c>
      <c r="P34" s="35">
        <v>-4450</v>
      </c>
    </row>
    <row r="35" spans="1:16" outlineLevel="1" x14ac:dyDescent="0.25">
      <c r="A35" s="23" t="str">
        <f>"4160"</f>
        <v>4160</v>
      </c>
      <c r="B35" s="23" t="str">
        <f>"Kranprov"</f>
        <v>Kranprov</v>
      </c>
      <c r="C35" s="51">
        <v>-5000</v>
      </c>
      <c r="D35" s="35">
        <v>-3415</v>
      </c>
      <c r="E35" s="26">
        <f t="shared" si="4"/>
        <v>1585</v>
      </c>
      <c r="G35" s="35">
        <v>-3415</v>
      </c>
      <c r="H35" s="35">
        <v>-3278</v>
      </c>
      <c r="I35" s="35">
        <v>-3134</v>
      </c>
      <c r="J35" s="35">
        <v>-3066</v>
      </c>
      <c r="K35" s="35">
        <v>-2970</v>
      </c>
      <c r="L35" s="35">
        <v>-2914</v>
      </c>
      <c r="M35" s="35">
        <v>-2493</v>
      </c>
      <c r="N35" s="35">
        <v>-2440</v>
      </c>
      <c r="O35" s="35">
        <v>-2369</v>
      </c>
      <c r="P35" s="35">
        <v>-4476</v>
      </c>
    </row>
    <row r="36" spans="1:16" outlineLevel="1" x14ac:dyDescent="0.25">
      <c r="A36" s="23" t="str">
        <f>"4161"</f>
        <v>4161</v>
      </c>
      <c r="B36" s="23" t="str">
        <f>"Kranreparation"</f>
        <v>Kranreparation</v>
      </c>
      <c r="C36" s="51">
        <v>-50000</v>
      </c>
      <c r="D36" s="35">
        <v>-29578.5</v>
      </c>
      <c r="E36" s="26">
        <f t="shared" si="4"/>
        <v>20421.5</v>
      </c>
      <c r="G36" s="35">
        <v>-29578.5</v>
      </c>
      <c r="H36" s="35">
        <v>-6644.5</v>
      </c>
      <c r="I36" s="35">
        <v>-2625</v>
      </c>
      <c r="J36" s="35">
        <v>-1168</v>
      </c>
      <c r="K36" s="35">
        <v>-21119</v>
      </c>
      <c r="L36" s="35">
        <v>-2467</v>
      </c>
      <c r="M36" s="35">
        <v>-8847</v>
      </c>
      <c r="N36" s="35">
        <v>0</v>
      </c>
      <c r="O36" s="35">
        <v>-10598</v>
      </c>
      <c r="P36" s="35">
        <v>-8090</v>
      </c>
    </row>
    <row r="37" spans="1:16" outlineLevel="1" x14ac:dyDescent="0.25">
      <c r="A37" s="23" t="str">
        <f>"4162"</f>
        <v>4162</v>
      </c>
      <c r="B37" s="23" t="s">
        <v>45</v>
      </c>
      <c r="C37" s="51">
        <v>-5000</v>
      </c>
      <c r="D37" s="36">
        <v>0</v>
      </c>
      <c r="E37" s="56">
        <f t="shared" si="4"/>
        <v>5000</v>
      </c>
      <c r="G37" s="36">
        <v>0</v>
      </c>
      <c r="H37" s="36">
        <v>0</v>
      </c>
      <c r="I37" s="36">
        <v>0</v>
      </c>
      <c r="J37" s="36">
        <v>0</v>
      </c>
      <c r="K37" s="36" t="s">
        <v>36</v>
      </c>
      <c r="L37" s="36">
        <v>0</v>
      </c>
      <c r="M37" s="36">
        <v>-3237</v>
      </c>
      <c r="N37" s="36"/>
      <c r="O37" s="36"/>
      <c r="P37" s="36">
        <v>-445</v>
      </c>
    </row>
    <row r="38" spans="1:16" outlineLevel="1" x14ac:dyDescent="0.25">
      <c r="A38" s="22" t="str">
        <f>"4171"</f>
        <v>4171</v>
      </c>
      <c r="B38" s="22" t="str">
        <f>"Skatt &amp; Försäkring Traktor"</f>
        <v>Skatt &amp; Försäkring Traktor</v>
      </c>
      <c r="C38" s="52">
        <v>-2000</v>
      </c>
      <c r="D38" s="37">
        <v>-1794</v>
      </c>
      <c r="E38" s="26">
        <f t="shared" si="4"/>
        <v>206</v>
      </c>
      <c r="G38" s="37">
        <v>-1794</v>
      </c>
      <c r="H38" s="37">
        <v>-1723</v>
      </c>
      <c r="I38" s="37">
        <v>-1770</v>
      </c>
      <c r="J38" s="37">
        <v>-1737</v>
      </c>
      <c r="K38" s="37">
        <v>-1734</v>
      </c>
      <c r="L38" s="37">
        <v>-1727</v>
      </c>
      <c r="M38" s="37">
        <v>-1675</v>
      </c>
      <c r="N38" s="37">
        <v>-1653</v>
      </c>
      <c r="O38" s="37">
        <v>-1633</v>
      </c>
      <c r="P38" s="37">
        <v>-524</v>
      </c>
    </row>
    <row r="39" spans="1:16" outlineLevel="1" x14ac:dyDescent="0.25">
      <c r="A39" s="22" t="str">
        <f>"4172"</f>
        <v>4172</v>
      </c>
      <c r="B39" s="22" t="str">
        <f>"Drivmedel Traktor"</f>
        <v>Drivmedel Traktor</v>
      </c>
      <c r="C39" s="52">
        <v>-3000</v>
      </c>
      <c r="D39" s="37">
        <v>-2806.24</v>
      </c>
      <c r="E39" s="26">
        <f t="shared" si="4"/>
        <v>193.76000000000022</v>
      </c>
      <c r="G39" s="37">
        <v>-2806.24</v>
      </c>
      <c r="H39" s="37">
        <v>-2668.75</v>
      </c>
      <c r="I39" s="37">
        <v>-2515.81</v>
      </c>
      <c r="J39" s="37">
        <v>-3330.39</v>
      </c>
      <c r="K39" s="37">
        <v>-3996.73</v>
      </c>
      <c r="L39" s="37">
        <v>-2092.63</v>
      </c>
      <c r="M39" s="37">
        <v>-1953</v>
      </c>
      <c r="N39" s="37">
        <v>-1783.72</v>
      </c>
      <c r="O39" s="37">
        <v>-1561.23</v>
      </c>
      <c r="P39" s="37">
        <v>-1449.66</v>
      </c>
    </row>
    <row r="40" spans="1:16" outlineLevel="1" x14ac:dyDescent="0.25">
      <c r="A40" s="22" t="str">
        <f>"4173"</f>
        <v>4173</v>
      </c>
      <c r="B40" s="22" t="str">
        <f>"Reparation Traktor"</f>
        <v>Reparation Traktor</v>
      </c>
      <c r="C40" s="52">
        <v>-10000</v>
      </c>
      <c r="D40" s="37">
        <v>0</v>
      </c>
      <c r="E40" s="26">
        <f t="shared" si="4"/>
        <v>10000</v>
      </c>
      <c r="G40" s="37">
        <v>0</v>
      </c>
      <c r="H40" s="37">
        <v>-1016</v>
      </c>
      <c r="I40" s="37">
        <v>-423</v>
      </c>
      <c r="J40" s="37">
        <v>-8115</v>
      </c>
      <c r="K40" s="37">
        <v>-5984</v>
      </c>
      <c r="L40" s="37">
        <v>-17904.5</v>
      </c>
      <c r="M40" s="37">
        <v>-1984</v>
      </c>
      <c r="N40" s="37">
        <v>-10959</v>
      </c>
      <c r="O40" s="37">
        <v>-3941</v>
      </c>
      <c r="P40" s="37">
        <v>-1545</v>
      </c>
    </row>
    <row r="41" spans="1:16" outlineLevel="1" x14ac:dyDescent="0.25">
      <c r="A41" s="22" t="str">
        <f>"4174"</f>
        <v>4174</v>
      </c>
      <c r="B41" s="22" t="str">
        <f>"Kostnader Släpvagn KZH640"</f>
        <v>Kostnader Släpvagn KZH640</v>
      </c>
      <c r="C41" s="52">
        <v>-65</v>
      </c>
      <c r="D41" s="37">
        <v>-62</v>
      </c>
      <c r="E41" s="26">
        <f t="shared" si="4"/>
        <v>3</v>
      </c>
      <c r="G41" s="37">
        <v>-62</v>
      </c>
      <c r="H41" s="37">
        <v>-75</v>
      </c>
      <c r="I41" s="37">
        <v>-65</v>
      </c>
      <c r="J41" s="37">
        <v>-65</v>
      </c>
      <c r="K41" s="37">
        <v>-65</v>
      </c>
      <c r="L41" s="37">
        <v>-50</v>
      </c>
      <c r="M41" s="37">
        <v>-50</v>
      </c>
      <c r="N41" s="37">
        <v>-50</v>
      </c>
      <c r="O41" s="37">
        <v>-60</v>
      </c>
      <c r="P41" s="37">
        <v>-65</v>
      </c>
    </row>
    <row r="42" spans="1:16" outlineLevel="1" x14ac:dyDescent="0.25">
      <c r="A42" s="21" t="str">
        <f>"4201"</f>
        <v>4201</v>
      </c>
      <c r="B42" s="21" t="str">
        <f>"Arrende Sandön"</f>
        <v>Arrende Sandön</v>
      </c>
      <c r="C42" s="53">
        <v>-5000</v>
      </c>
      <c r="D42" s="38">
        <v>-5000</v>
      </c>
      <c r="E42" s="26">
        <f t="shared" si="4"/>
        <v>0</v>
      </c>
      <c r="G42" s="38">
        <v>-5000</v>
      </c>
      <c r="H42" s="38">
        <v>-5000</v>
      </c>
      <c r="I42" s="38">
        <v>-5000</v>
      </c>
      <c r="J42" s="38">
        <v>-5000</v>
      </c>
      <c r="K42" s="38">
        <v>-5000</v>
      </c>
      <c r="L42" s="38">
        <v>-5000</v>
      </c>
      <c r="M42" s="38">
        <v>-5000</v>
      </c>
      <c r="N42" s="38">
        <v>-15000</v>
      </c>
      <c r="O42" s="38">
        <v>0</v>
      </c>
      <c r="P42" s="38"/>
    </row>
    <row r="43" spans="1:16" outlineLevel="1" x14ac:dyDescent="0.25">
      <c r="A43" s="21" t="str">
        <f>"4203"</f>
        <v>4203</v>
      </c>
      <c r="B43" s="21" t="str">
        <f>"Bryggmaterial Sandön"</f>
        <v>Bryggmaterial Sandön</v>
      </c>
      <c r="C43" s="53">
        <v>0</v>
      </c>
      <c r="D43" s="38">
        <v>-23344.2</v>
      </c>
      <c r="E43" s="26">
        <f t="shared" si="4"/>
        <v>-23344.2</v>
      </c>
      <c r="G43" s="38">
        <v>-23344.2</v>
      </c>
      <c r="H43" s="38">
        <v>0</v>
      </c>
      <c r="I43" s="38">
        <v>-3944</v>
      </c>
      <c r="J43" s="38">
        <v>-4584</v>
      </c>
      <c r="K43" s="38">
        <v>-54292</v>
      </c>
      <c r="L43" s="38">
        <v>-13694</v>
      </c>
      <c r="M43" s="38">
        <v>0</v>
      </c>
      <c r="N43" s="38">
        <v>-24993</v>
      </c>
      <c r="O43" s="38">
        <v>-1500</v>
      </c>
      <c r="P43" s="38">
        <v>0</v>
      </c>
    </row>
    <row r="44" spans="1:16" outlineLevel="1" x14ac:dyDescent="0.25">
      <c r="A44" s="21" t="s">
        <v>28</v>
      </c>
      <c r="B44" s="21" t="str">
        <f>"El Sandön"</f>
        <v>El Sandön</v>
      </c>
      <c r="C44" s="53">
        <v>-6000</v>
      </c>
      <c r="D44" s="38">
        <v>-4145.04</v>
      </c>
      <c r="E44" s="26">
        <f t="shared" si="4"/>
        <v>1854.96</v>
      </c>
      <c r="G44" s="38">
        <v>-4145.04</v>
      </c>
      <c r="H44" s="38">
        <v>-4944.2299999999996</v>
      </c>
      <c r="I44" s="38">
        <v>-4696</v>
      </c>
      <c r="J44" s="38">
        <v>-5236.82</v>
      </c>
      <c r="K44" s="38">
        <v>-14941.87</v>
      </c>
      <c r="L44" s="38">
        <v>-31085.759999999998</v>
      </c>
      <c r="M44" s="38">
        <v>-28261.84</v>
      </c>
      <c r="N44" s="38"/>
      <c r="O44" s="38"/>
      <c r="P44" s="38"/>
    </row>
    <row r="45" spans="1:16" outlineLevel="1" x14ac:dyDescent="0.25">
      <c r="A45" s="21" t="str">
        <f>"4205"</f>
        <v>4205</v>
      </c>
      <c r="B45" s="21" t="str">
        <f>"Toalett Sandön"</f>
        <v>Toalett Sandön</v>
      </c>
      <c r="C45" s="53">
        <v>0</v>
      </c>
      <c r="D45" s="38">
        <v>0</v>
      </c>
      <c r="E45" s="26">
        <f t="shared" si="4"/>
        <v>0</v>
      </c>
      <c r="G45" s="38">
        <v>0</v>
      </c>
      <c r="H45" s="38"/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-1551</v>
      </c>
      <c r="O45" s="38">
        <v>-780</v>
      </c>
      <c r="P45" s="38">
        <v>-710</v>
      </c>
    </row>
    <row r="46" spans="1:16" outlineLevel="1" x14ac:dyDescent="0.25">
      <c r="A46" s="21" t="str">
        <f>"4206"</f>
        <v>4206</v>
      </c>
      <c r="B46" s="21" t="str">
        <f>"Övriga kostnader Sandön"</f>
        <v>Övriga kostnader Sandön</v>
      </c>
      <c r="C46" s="53">
        <v>-30000</v>
      </c>
      <c r="D46" s="38">
        <v>-13464</v>
      </c>
      <c r="E46" s="26">
        <f t="shared" si="4"/>
        <v>16536</v>
      </c>
      <c r="G46" s="38">
        <v>-13464</v>
      </c>
      <c r="H46" s="38">
        <v>-2931.85</v>
      </c>
      <c r="I46" s="38">
        <v>-31866</v>
      </c>
      <c r="J46" s="38">
        <v>-17115.310000000001</v>
      </c>
      <c r="K46" s="38">
        <v>-11706.7</v>
      </c>
      <c r="L46" s="38">
        <v>-38626.769999999997</v>
      </c>
      <c r="M46" s="38">
        <v>-12379</v>
      </c>
      <c r="N46" s="38">
        <v>-12278</v>
      </c>
      <c r="O46" s="38">
        <v>-3743.39</v>
      </c>
      <c r="P46" s="38">
        <v>-2771</v>
      </c>
    </row>
    <row r="47" spans="1:16" outlineLevel="1" x14ac:dyDescent="0.25">
      <c r="A47" s="1" t="str">
        <f>"4210"</f>
        <v>4210</v>
      </c>
      <c r="B47" s="1" t="str">
        <f>"Styrpulpetbåt"</f>
        <v>Styrpulpetbåt</v>
      </c>
      <c r="C47" s="48">
        <v>0</v>
      </c>
      <c r="D47" s="26">
        <v>0</v>
      </c>
      <c r="E47" s="26">
        <f t="shared" si="4"/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-2336</v>
      </c>
    </row>
    <row r="48" spans="1:16" outlineLevel="1" x14ac:dyDescent="0.25">
      <c r="A48" s="1" t="str">
        <f>"4351"</f>
        <v>4351</v>
      </c>
      <c r="B48" s="1" t="str">
        <f>"Underhåll Båtar"</f>
        <v>Underhåll Båtar</v>
      </c>
      <c r="C48" s="48">
        <v>0</v>
      </c>
      <c r="D48" s="26">
        <v>0</v>
      </c>
      <c r="E48" s="26">
        <f t="shared" si="4"/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-683</v>
      </c>
    </row>
    <row r="49" spans="1:16" outlineLevel="1" x14ac:dyDescent="0.25">
      <c r="A49" s="65" t="str">
        <f>"4413"</f>
        <v>4413</v>
      </c>
      <c r="B49" s="65" t="str">
        <f>"Dukning, Mat  Festkommitèn"</f>
        <v>Dukning, Mat  Festkommitèn</v>
      </c>
      <c r="C49" s="66">
        <v>-1000</v>
      </c>
      <c r="D49" s="67">
        <v>0</v>
      </c>
      <c r="E49" s="26">
        <f t="shared" si="4"/>
        <v>1000</v>
      </c>
      <c r="G49" s="68">
        <v>0</v>
      </c>
      <c r="H49" s="68">
        <v>0</v>
      </c>
      <c r="I49" s="68">
        <v>0</v>
      </c>
      <c r="J49" s="68">
        <v>0</v>
      </c>
      <c r="K49" s="68">
        <v>-10</v>
      </c>
      <c r="L49" s="68">
        <v>0</v>
      </c>
      <c r="M49" s="68">
        <v>-524</v>
      </c>
      <c r="N49" s="68">
        <v>-2100</v>
      </c>
      <c r="O49" s="68">
        <v>-1644</v>
      </c>
      <c r="P49" s="68">
        <v>-514</v>
      </c>
    </row>
    <row r="50" spans="1:16" outlineLevel="1" x14ac:dyDescent="0.25">
      <c r="A50" s="65" t="str">
        <f>"4416"</f>
        <v>4416</v>
      </c>
      <c r="B50" s="65" t="str">
        <f>"Mötesverksamhet"</f>
        <v>Mötesverksamhet</v>
      </c>
      <c r="C50" s="66">
        <v>-3000</v>
      </c>
      <c r="D50" s="67">
        <v>-2215.6</v>
      </c>
      <c r="E50" s="26">
        <f t="shared" si="4"/>
        <v>784.40000000000009</v>
      </c>
      <c r="G50" s="68">
        <v>-2215.6</v>
      </c>
      <c r="H50" s="68">
        <v>-2917</v>
      </c>
      <c r="I50" s="68">
        <v>-119</v>
      </c>
      <c r="J50" s="68">
        <v>-1491</v>
      </c>
      <c r="K50" s="68">
        <v>-5471.74</v>
      </c>
      <c r="L50" s="68">
        <v>3211</v>
      </c>
      <c r="M50" s="68">
        <v>-8531</v>
      </c>
      <c r="N50" s="68">
        <v>-6153.4</v>
      </c>
      <c r="O50" s="68">
        <v>-4595.66</v>
      </c>
      <c r="P50" s="68">
        <v>-3931</v>
      </c>
    </row>
    <row r="51" spans="1:16" outlineLevel="1" x14ac:dyDescent="0.25">
      <c r="A51" s="65" t="str">
        <f>"4499"</f>
        <v>4499</v>
      </c>
      <c r="B51" s="65" t="str">
        <f>"Övriga kostnader"</f>
        <v>Övriga kostnader</v>
      </c>
      <c r="C51" s="66">
        <v>-3000</v>
      </c>
      <c r="D51" s="66">
        <v>-13793.8</v>
      </c>
      <c r="E51" s="26">
        <f t="shared" si="4"/>
        <v>-10793.8</v>
      </c>
      <c r="G51" s="68">
        <v>-13793.8</v>
      </c>
      <c r="H51" s="68">
        <v>-575</v>
      </c>
      <c r="I51" s="68">
        <v>-10604</v>
      </c>
      <c r="J51" s="68">
        <v>-600</v>
      </c>
      <c r="K51" s="68">
        <v>0</v>
      </c>
      <c r="L51" s="68">
        <v>0</v>
      </c>
      <c r="M51" s="68">
        <v>-561</v>
      </c>
      <c r="N51" s="68">
        <v>0</v>
      </c>
      <c r="O51" s="68">
        <v>-7337</v>
      </c>
      <c r="P51" s="68">
        <v>-1270</v>
      </c>
    </row>
    <row r="52" spans="1:16" outlineLevel="1" x14ac:dyDescent="0.25">
      <c r="A52" s="65" t="str">
        <f>"6312"</f>
        <v>6312</v>
      </c>
      <c r="B52" s="65" t="str">
        <f>"Försäkringar Säffle"</f>
        <v>Försäkringar Säffle</v>
      </c>
      <c r="C52" s="66">
        <v>-1700</v>
      </c>
      <c r="D52" s="66">
        <v>0</v>
      </c>
      <c r="E52" s="26">
        <f t="shared" si="4"/>
        <v>1700</v>
      </c>
      <c r="G52" s="68">
        <v>0</v>
      </c>
      <c r="H52" s="68">
        <v>0</v>
      </c>
      <c r="I52" s="68">
        <v>-1603</v>
      </c>
      <c r="J52" s="68">
        <v>-1620</v>
      </c>
      <c r="K52" s="68">
        <v>-350</v>
      </c>
      <c r="L52" s="68">
        <v>-985</v>
      </c>
      <c r="M52" s="68">
        <v>-10788</v>
      </c>
      <c r="N52" s="68">
        <v>1099</v>
      </c>
      <c r="O52" s="68">
        <v>-2420</v>
      </c>
      <c r="P52" s="68">
        <v>0</v>
      </c>
    </row>
    <row r="53" spans="1:16" outlineLevel="1" x14ac:dyDescent="0.25">
      <c r="A53" s="65" t="str">
        <f>"6313"</f>
        <v>6313</v>
      </c>
      <c r="B53" s="65" t="s">
        <v>70</v>
      </c>
      <c r="C53" s="66">
        <v>-2500</v>
      </c>
      <c r="D53" s="66">
        <v>-3284</v>
      </c>
      <c r="E53" s="26">
        <f t="shared" si="4"/>
        <v>-784</v>
      </c>
      <c r="G53" s="68">
        <v>-3284</v>
      </c>
      <c r="H53" s="68">
        <v>-3377</v>
      </c>
      <c r="I53" s="68">
        <v>-2331</v>
      </c>
      <c r="J53" s="68">
        <v>-1620</v>
      </c>
      <c r="K53" s="68">
        <v>-2386</v>
      </c>
      <c r="L53" s="68">
        <v>-2989</v>
      </c>
      <c r="M53" s="68">
        <v>-2955</v>
      </c>
      <c r="N53" s="68">
        <v>-2609</v>
      </c>
      <c r="O53" s="68">
        <v>0</v>
      </c>
      <c r="P53" s="68">
        <v>0</v>
      </c>
    </row>
    <row r="54" spans="1:16" outlineLevel="1" x14ac:dyDescent="0.25">
      <c r="A54" s="65" t="str">
        <f>"6993"</f>
        <v>6993</v>
      </c>
      <c r="B54" s="65" t="str">
        <f>"Lämnade bidrag och gåvor"</f>
        <v>Lämnade bidrag och gåvor</v>
      </c>
      <c r="C54" s="66">
        <v>-3000</v>
      </c>
      <c r="D54" s="67">
        <v>0</v>
      </c>
      <c r="E54" s="26">
        <f t="shared" si="4"/>
        <v>3000</v>
      </c>
      <c r="G54" s="68">
        <v>0</v>
      </c>
      <c r="H54" s="68">
        <v>-5000</v>
      </c>
      <c r="I54" s="68">
        <v>0</v>
      </c>
      <c r="J54" s="68">
        <v>-2150</v>
      </c>
      <c r="K54" s="68">
        <v>-1000</v>
      </c>
      <c r="L54" s="68">
        <v>0</v>
      </c>
      <c r="M54" s="68">
        <v>-190</v>
      </c>
      <c r="N54" s="68">
        <v>-3000</v>
      </c>
      <c r="O54" s="68">
        <v>-1700</v>
      </c>
      <c r="P54" s="69">
        <v>0</v>
      </c>
    </row>
    <row r="55" spans="1:16" outlineLevel="1" x14ac:dyDescent="0.25">
      <c r="A55" s="2"/>
      <c r="B55" s="2"/>
      <c r="C55" s="39">
        <f>SUM(C18:C54)</f>
        <v>-249423</v>
      </c>
      <c r="D55" s="39">
        <f>SUM(D18:D54)</f>
        <v>-182311.79</v>
      </c>
      <c r="E55" s="39">
        <f t="shared" si="4"/>
        <v>67111.209999999992</v>
      </c>
      <c r="G55" s="39">
        <f>SUM(G18:G54)</f>
        <v>-182311.79</v>
      </c>
      <c r="H55" s="39">
        <v>-128498.47</v>
      </c>
      <c r="I55" s="39">
        <f>SUM(I18:I54)</f>
        <v>-144490.81</v>
      </c>
      <c r="J55" s="39">
        <f>SUM(J18:J54)</f>
        <v>-130981.9</v>
      </c>
      <c r="K55" s="39">
        <v>-210242.59</v>
      </c>
      <c r="L55" s="39">
        <v>-188627.61</v>
      </c>
      <c r="M55" s="39">
        <f>SUM(M18:M54)</f>
        <v>-146852.84</v>
      </c>
      <c r="N55" s="39">
        <f>SUM(N18:N54)</f>
        <v>-182620.59</v>
      </c>
      <c r="O55" s="39">
        <f t="shared" ref="O55:P55" si="5">SUM(O18:O54)</f>
        <v>-120621.73000000001</v>
      </c>
      <c r="P55" s="39">
        <f t="shared" si="5"/>
        <v>-108037.32</v>
      </c>
    </row>
    <row r="56" spans="1:16" outlineLevel="1" x14ac:dyDescent="0.25">
      <c r="C56" s="48">
        <v>0</v>
      </c>
      <c r="D56" s="7"/>
      <c r="E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1:16" outlineLevel="1" x14ac:dyDescent="0.25">
      <c r="B57" s="4" t="str">
        <f>"Bruttovinst"</f>
        <v>Bruttovinst</v>
      </c>
      <c r="C57" s="40">
        <f>SUM(C15+C55)</f>
        <v>-42323</v>
      </c>
      <c r="D57" s="40">
        <f>SUM(D15+D55)</f>
        <v>20251.209999999992</v>
      </c>
      <c r="E57" s="40">
        <f t="shared" si="4"/>
        <v>62574.209999999992</v>
      </c>
      <c r="G57" s="40">
        <f>SUM(G15+G55)</f>
        <v>20251.209999999992</v>
      </c>
      <c r="H57" s="40">
        <v>80152.53</v>
      </c>
      <c r="I57" s="40">
        <f>SUM(I15+I55)</f>
        <v>47479.23000000001</v>
      </c>
      <c r="J57" s="40">
        <f>SUM(J15+J55)</f>
        <v>56750.610000000015</v>
      </c>
      <c r="K57" s="40">
        <f>SUM(K15+K55)</f>
        <v>-26999.589999999997</v>
      </c>
      <c r="L57" s="40">
        <v>34285.390000000014</v>
      </c>
      <c r="M57" s="40">
        <f>SUM(M15+M55)</f>
        <v>46644.160000000003</v>
      </c>
      <c r="N57" s="40">
        <f>SUM(N15+N55)</f>
        <v>-16716.589999999997</v>
      </c>
      <c r="O57" s="40">
        <f t="shared" ref="O57:P57" si="6">SUM(O15+O55)</f>
        <v>73248.26999999999</v>
      </c>
      <c r="P57" s="40">
        <f t="shared" si="6"/>
        <v>86257.68</v>
      </c>
    </row>
    <row r="58" spans="1:16" outlineLevel="1" x14ac:dyDescent="0.25">
      <c r="C58" s="48">
        <v>0</v>
      </c>
      <c r="D58" s="26"/>
      <c r="E58" s="26">
        <f t="shared" si="4"/>
        <v>0</v>
      </c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1:16" outlineLevel="1" x14ac:dyDescent="0.25">
      <c r="A59" s="1" t="str">
        <f>"7920"</f>
        <v>7920</v>
      </c>
      <c r="B59" s="1" t="str">
        <f>"Avskrivningar inventarier"</f>
        <v>Avskrivningar inventarier</v>
      </c>
      <c r="C59" s="48">
        <v>0</v>
      </c>
      <c r="D59" s="26">
        <v>-35482</v>
      </c>
      <c r="E59" s="26">
        <f t="shared" si="4"/>
        <v>-35482</v>
      </c>
      <c r="G59" s="26">
        <v>-35482</v>
      </c>
      <c r="H59" s="26">
        <v>0</v>
      </c>
      <c r="I59" s="26">
        <v>-5945</v>
      </c>
      <c r="J59" s="26">
        <v>-13960</v>
      </c>
      <c r="K59" s="26">
        <v>-19342</v>
      </c>
      <c r="L59" s="26">
        <v>-19342</v>
      </c>
      <c r="M59" s="26">
        <v>-19342</v>
      </c>
      <c r="N59" s="26">
        <v>-14423</v>
      </c>
      <c r="O59" s="26">
        <v>-1026</v>
      </c>
      <c r="P59" s="26">
        <v>-1025</v>
      </c>
    </row>
    <row r="60" spans="1:16" outlineLevel="1" x14ac:dyDescent="0.25">
      <c r="A60" s="1" t="str">
        <f>"7922"</f>
        <v>7922</v>
      </c>
      <c r="B60" s="1" t="s">
        <v>38</v>
      </c>
      <c r="C60" s="48">
        <v>-22435</v>
      </c>
      <c r="D60" s="26">
        <v>-22435</v>
      </c>
      <c r="E60" s="26">
        <f t="shared" si="4"/>
        <v>0</v>
      </c>
      <c r="G60" s="26">
        <v>-22435</v>
      </c>
      <c r="H60" s="26">
        <v>-22435</v>
      </c>
      <c r="I60" s="26">
        <v>-22435</v>
      </c>
      <c r="J60" s="26">
        <v>-22435</v>
      </c>
      <c r="K60" s="26">
        <v>-22435</v>
      </c>
      <c r="L60" s="26">
        <v>-12164</v>
      </c>
      <c r="M60" s="26">
        <v>-12164</v>
      </c>
      <c r="N60" s="26">
        <v>-1539</v>
      </c>
      <c r="O60" s="26">
        <v>-1539</v>
      </c>
      <c r="P60" s="26">
        <v>-1539</v>
      </c>
    </row>
    <row r="61" spans="1:16" outlineLevel="1" x14ac:dyDescent="0.25">
      <c r="A61" s="2"/>
      <c r="B61" s="32" t="s">
        <v>39</v>
      </c>
      <c r="C61" s="41">
        <f>SUM(C59:C60)</f>
        <v>-22435</v>
      </c>
      <c r="D61" s="41">
        <f>SUM(D59:D60)</f>
        <v>-57917</v>
      </c>
      <c r="E61" s="41">
        <f t="shared" si="4"/>
        <v>-35482</v>
      </c>
      <c r="G61" s="41">
        <f>SUM(G59:G60)</f>
        <v>-57917</v>
      </c>
      <c r="H61" s="41">
        <v>-22435</v>
      </c>
      <c r="I61" s="41">
        <f>SUM(I59:I60)</f>
        <v>-28380</v>
      </c>
      <c r="J61" s="41">
        <f>SUM(J59:J60)</f>
        <v>-36395</v>
      </c>
      <c r="K61" s="41">
        <f>SUM(K59:K60)</f>
        <v>-41777</v>
      </c>
      <c r="L61" s="41">
        <v>-31506</v>
      </c>
      <c r="M61" s="41">
        <f>SUM(M59:M60)</f>
        <v>-31506</v>
      </c>
      <c r="N61" s="41">
        <f>SUM(N59:N60)</f>
        <v>-15962</v>
      </c>
      <c r="O61" s="41">
        <f>SUM(O59:O60)</f>
        <v>-2565</v>
      </c>
      <c r="P61" s="40">
        <f>SUM(P59:P60)</f>
        <v>-2564</v>
      </c>
    </row>
    <row r="62" spans="1:16" outlineLevel="1" x14ac:dyDescent="0.25">
      <c r="C62" s="7">
        <v>0</v>
      </c>
      <c r="D62" s="26"/>
      <c r="E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1:16" outlineLevel="1" x14ac:dyDescent="0.25">
      <c r="B63" s="12" t="s">
        <v>5</v>
      </c>
      <c r="C63" s="42">
        <f>SUM(C57+C61)</f>
        <v>-64758</v>
      </c>
      <c r="D63" s="42">
        <f>SUM(D57+D61)</f>
        <v>-37665.790000000008</v>
      </c>
      <c r="E63" s="42">
        <f t="shared" si="4"/>
        <v>27092.209999999992</v>
      </c>
      <c r="G63" s="42">
        <f>SUM(G57+G61)</f>
        <v>-37665.790000000008</v>
      </c>
      <c r="H63" s="42">
        <v>57717.53</v>
      </c>
      <c r="I63" s="42">
        <f>SUM(I57+I61)</f>
        <v>19099.23000000001</v>
      </c>
      <c r="J63" s="42">
        <f>SUM(J57+J61)</f>
        <v>20355.610000000015</v>
      </c>
      <c r="K63" s="42">
        <f>SUM(K57+K61)</f>
        <v>-68776.59</v>
      </c>
      <c r="L63" s="42">
        <v>2779.390000000014</v>
      </c>
      <c r="M63" s="42">
        <f>SUM(M57+M61)</f>
        <v>15138.160000000003</v>
      </c>
      <c r="N63" s="42">
        <f>SUM(N57+N61)</f>
        <v>-32678.589999999997</v>
      </c>
      <c r="O63" s="42">
        <f>SUM(O57+O61)</f>
        <v>70683.26999999999</v>
      </c>
      <c r="P63" s="42">
        <f>SUM(P57+P61)</f>
        <v>83693.679999999993</v>
      </c>
    </row>
    <row r="64" spans="1:16" outlineLevel="1" x14ac:dyDescent="0.25">
      <c r="C64" s="7"/>
      <c r="D64" s="26"/>
      <c r="E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1:16" outlineLevel="1" x14ac:dyDescent="0.25">
      <c r="C65" s="7"/>
      <c r="D65" s="26"/>
      <c r="E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1:16" outlineLevel="1" x14ac:dyDescent="0.25">
      <c r="A66" s="1" t="str">
        <f>"8120"</f>
        <v>8120</v>
      </c>
      <c r="B66" s="1" t="str">
        <f>"Räntekostnader"</f>
        <v>Räntekostnader</v>
      </c>
      <c r="C66" s="7">
        <v>0</v>
      </c>
      <c r="D66" s="26">
        <v>-55</v>
      </c>
      <c r="E66" s="26">
        <f t="shared" ref="E66:E69" si="7">SUM(D66-C66)</f>
        <v>-55</v>
      </c>
      <c r="G66" s="26">
        <v>-55</v>
      </c>
      <c r="H66" s="26">
        <v>-58</v>
      </c>
      <c r="I66" s="26">
        <v>0</v>
      </c>
      <c r="J66" s="26">
        <v>-91</v>
      </c>
      <c r="K66" s="26">
        <v>0</v>
      </c>
      <c r="L66" s="26">
        <v>-40.5</v>
      </c>
      <c r="M66" s="26">
        <v>-95</v>
      </c>
      <c r="N66" s="26">
        <v>-43</v>
      </c>
      <c r="O66" s="26">
        <v>-1</v>
      </c>
      <c r="P66" s="26">
        <v>-93</v>
      </c>
    </row>
    <row r="67" spans="1:16" outlineLevel="1" x14ac:dyDescent="0.25">
      <c r="A67" s="1" t="str">
        <f>"8170"</f>
        <v>8170</v>
      </c>
      <c r="B67" s="1" t="str">
        <f>"Bankavgifter"</f>
        <v>Bankavgifter</v>
      </c>
      <c r="C67" s="7">
        <v>-2000</v>
      </c>
      <c r="D67" s="26">
        <v>-1899</v>
      </c>
      <c r="E67" s="26">
        <f t="shared" si="7"/>
        <v>101</v>
      </c>
      <c r="G67" s="26">
        <v>-1899</v>
      </c>
      <c r="H67" s="26">
        <v>-210</v>
      </c>
      <c r="I67" s="26">
        <v>-657</v>
      </c>
      <c r="J67" s="26">
        <v>-24</v>
      </c>
      <c r="K67" s="26">
        <v>-969</v>
      </c>
      <c r="L67" s="26">
        <v>-1038</v>
      </c>
      <c r="M67" s="26">
        <v>-1008</v>
      </c>
      <c r="N67" s="26">
        <v>-954.5</v>
      </c>
      <c r="O67" s="26">
        <v>-787</v>
      </c>
      <c r="P67" s="26">
        <v>-696.5</v>
      </c>
    </row>
    <row r="68" spans="1:16" outlineLevel="1" x14ac:dyDescent="0.25">
      <c r="A68" s="1" t="str">
        <f>"8300"</f>
        <v>8300</v>
      </c>
      <c r="B68" s="1" t="str">
        <f>"Ränteintäkter"</f>
        <v>Ränteintäkter</v>
      </c>
      <c r="C68" s="7">
        <v>70</v>
      </c>
      <c r="D68" s="26">
        <v>1564.46</v>
      </c>
      <c r="E68" s="26">
        <f t="shared" si="7"/>
        <v>1494.46</v>
      </c>
      <c r="G68" s="26">
        <v>1564.46</v>
      </c>
      <c r="H68" s="26">
        <v>67.06</v>
      </c>
      <c r="I68" s="26">
        <v>0</v>
      </c>
      <c r="J68" s="26">
        <v>4</v>
      </c>
      <c r="K68" s="26">
        <v>50</v>
      </c>
      <c r="L68" s="26">
        <v>0</v>
      </c>
      <c r="M68" s="26">
        <v>0</v>
      </c>
      <c r="N68" s="26">
        <v>0</v>
      </c>
      <c r="O68" s="26">
        <v>44.81</v>
      </c>
      <c r="P68" s="27">
        <v>541.44000000000005</v>
      </c>
    </row>
    <row r="69" spans="1:16" outlineLevel="1" x14ac:dyDescent="0.25">
      <c r="A69" s="2"/>
      <c r="B69" s="2"/>
      <c r="C69" s="54">
        <f>SUM(C66:C68)</f>
        <v>-1930</v>
      </c>
      <c r="D69" s="43">
        <f>SUM(D66:D68)</f>
        <v>-389.53999999999996</v>
      </c>
      <c r="E69" s="43">
        <f t="shared" si="7"/>
        <v>1540.46</v>
      </c>
      <c r="G69" s="43">
        <f>SUM(G66:G68)</f>
        <v>-389.53999999999996</v>
      </c>
      <c r="H69" s="43">
        <v>-200.94</v>
      </c>
      <c r="I69" s="43">
        <f>SUM(I66:I68)</f>
        <v>-657</v>
      </c>
      <c r="J69" s="43">
        <f>SUM(J66:J68)</f>
        <v>-111</v>
      </c>
      <c r="K69" s="43">
        <f>SUM(K66:K68)</f>
        <v>-919</v>
      </c>
      <c r="L69" s="43">
        <v>-1078.5</v>
      </c>
      <c r="M69" s="43">
        <f>SUM(M66:M68)</f>
        <v>-1103</v>
      </c>
      <c r="N69" s="43">
        <f>SUM(N66:N68)</f>
        <v>-997.5</v>
      </c>
      <c r="O69" s="43">
        <f t="shared" ref="O69:P69" si="8">SUM(O66:O68)</f>
        <v>-743.19</v>
      </c>
      <c r="P69" s="26">
        <f t="shared" si="8"/>
        <v>-248.05999999999995</v>
      </c>
    </row>
    <row r="70" spans="1:16" outlineLevel="1" x14ac:dyDescent="0.25">
      <c r="C70" s="7">
        <v>0</v>
      </c>
      <c r="D70" s="26"/>
      <c r="E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1:16" ht="15.75" outlineLevel="1" x14ac:dyDescent="0.25">
      <c r="B71" s="13" t="s">
        <v>10</v>
      </c>
      <c r="C71" s="44">
        <f>SUM(C15+C55+C61+C69)</f>
        <v>-66688</v>
      </c>
      <c r="D71" s="44">
        <f>SUM(D15+D55+D61+D69)</f>
        <v>-38055.330000000009</v>
      </c>
      <c r="E71" s="44">
        <f t="shared" ref="E71" si="9">SUM(D71-C71)</f>
        <v>28632.669999999991</v>
      </c>
      <c r="G71" s="44">
        <f>SUM(G15+G55+G61+G69)</f>
        <v>-38055.330000000009</v>
      </c>
      <c r="H71" s="44">
        <v>57516.59</v>
      </c>
      <c r="I71" s="44">
        <f>SUM(I15+I55+I61+I69)</f>
        <v>18442.23000000001</v>
      </c>
      <c r="J71" s="44">
        <f>SUM(J15+J55+J61+J69)</f>
        <v>20244.610000000015</v>
      </c>
      <c r="K71" s="44">
        <f>SUM(K15+K55+K61+K69)</f>
        <v>-69695.59</v>
      </c>
      <c r="L71" s="44">
        <v>1700.890000000014</v>
      </c>
      <c r="M71" s="44">
        <f>SUM(M15+M55+M61+M69)</f>
        <v>14035.160000000003</v>
      </c>
      <c r="N71" s="44">
        <f>SUM(N15+N55+N61+N69)</f>
        <v>-33676.089999999997</v>
      </c>
      <c r="O71" s="44">
        <f>SUM(O15+O55+O61+O69)</f>
        <v>69940.079999999987</v>
      </c>
      <c r="P71" s="44">
        <f>SUM(P15+P55+P61+P69)</f>
        <v>83445.62</v>
      </c>
    </row>
    <row r="72" spans="1:16" outlineLevel="1" x14ac:dyDescent="0.25">
      <c r="N72" s="3"/>
      <c r="O72" s="3"/>
      <c r="P72" s="29"/>
    </row>
    <row r="74" spans="1:16" x14ac:dyDescent="0.25">
      <c r="B74" s="5" t="s">
        <v>54</v>
      </c>
    </row>
    <row r="75" spans="1:16" x14ac:dyDescent="0.25">
      <c r="B75" t="s">
        <v>68</v>
      </c>
      <c r="E75" s="7">
        <f>SUM(E3:E14)</f>
        <v>-4537</v>
      </c>
    </row>
    <row r="76" spans="1:16" x14ac:dyDescent="0.25">
      <c r="B76" s="24" t="s">
        <v>64</v>
      </c>
      <c r="C76" s="24"/>
      <c r="E76" s="7">
        <f>SUM(E18:E25)</f>
        <v>7876.34</v>
      </c>
    </row>
    <row r="77" spans="1:16" x14ac:dyDescent="0.25">
      <c r="B77" s="64" t="s">
        <v>7</v>
      </c>
      <c r="C77" s="64"/>
      <c r="E77" s="7">
        <f>SUM(E26:E37)</f>
        <v>58878.75</v>
      </c>
    </row>
    <row r="78" spans="1:16" x14ac:dyDescent="0.25">
      <c r="B78" s="22" t="s">
        <v>69</v>
      </c>
      <c r="C78" s="22"/>
      <c r="E78" s="7">
        <f>SUM(E38:E41)</f>
        <v>10402.76</v>
      </c>
    </row>
    <row r="79" spans="1:16" x14ac:dyDescent="0.25">
      <c r="B79" s="21" t="s">
        <v>6</v>
      </c>
      <c r="C79" s="21"/>
      <c r="E79" s="7">
        <f>SUM(E42:E46)</f>
        <v>-4953.2400000000016</v>
      </c>
    </row>
    <row r="80" spans="1:16" x14ac:dyDescent="0.25">
      <c r="B80" s="70" t="s">
        <v>65</v>
      </c>
      <c r="C80" s="70"/>
      <c r="E80" s="7">
        <f>SUM(E49:E54)</f>
        <v>-5093.3999999999996</v>
      </c>
    </row>
    <row r="81" spans="2:5" x14ac:dyDescent="0.25">
      <c r="B81" t="s">
        <v>66</v>
      </c>
      <c r="E81" s="7">
        <f>SUM(E59:E60)</f>
        <v>-35482</v>
      </c>
    </row>
    <row r="82" spans="2:5" x14ac:dyDescent="0.25">
      <c r="B82" t="s">
        <v>67</v>
      </c>
      <c r="E82" s="7">
        <f>SUM(E66:E68)</f>
        <v>1540.46</v>
      </c>
    </row>
    <row r="83" spans="2:5" x14ac:dyDescent="0.25">
      <c r="B83" s="71" t="s">
        <v>71</v>
      </c>
      <c r="C83" s="72"/>
      <c r="D83" s="72"/>
      <c r="E83" s="73">
        <f>SUM(E75:E82)</f>
        <v>28632.669999999984</v>
      </c>
    </row>
  </sheetData>
  <mergeCells count="1">
    <mergeCell ref="Q2:R2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Budget 2024 Detalj</vt:lpstr>
      <vt:lpstr>Utfall 2023 Jmf m budget</vt:lpstr>
    </vt:vector>
  </TitlesOfParts>
  <Company>Elasto Sweden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Halvardsson</dc:creator>
  <cp:lastModifiedBy>Kem Ehlers</cp:lastModifiedBy>
  <cp:lastPrinted>2024-02-07T17:16:21Z</cp:lastPrinted>
  <dcterms:created xsi:type="dcterms:W3CDTF">2017-03-06T10:12:52Z</dcterms:created>
  <dcterms:modified xsi:type="dcterms:W3CDTF">2024-03-11T10:18:53Z</dcterms:modified>
</cp:coreProperties>
</file>